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90" yWindow="90" windowWidth="32565" windowHeight="12630" activeTab="1"/>
  </bookViews>
  <sheets>
    <sheet name="Vrianta s projektem" sheetId="1" r:id="rId1"/>
    <sheet name="Varianta bez projektu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1" l="1"/>
  <c r="O12" i="1"/>
  <c r="N13" i="1"/>
  <c r="M13" i="1"/>
  <c r="M12" i="1"/>
  <c r="N11" i="1"/>
  <c r="O11" i="1"/>
  <c r="M11" i="1"/>
  <c r="L75" i="2"/>
  <c r="K75" i="2"/>
  <c r="G75" i="2"/>
  <c r="H75" i="2"/>
  <c r="I75" i="2"/>
  <c r="J75" i="2"/>
  <c r="D75" i="2"/>
  <c r="L74" i="2"/>
  <c r="K74" i="2"/>
  <c r="G74" i="2"/>
  <c r="I74" i="2"/>
  <c r="I73" i="2"/>
  <c r="L73" i="2"/>
  <c r="G73" i="2"/>
  <c r="D73" i="2"/>
  <c r="N14" i="1"/>
  <c r="N12" i="1" s="1"/>
  <c r="E77" i="2"/>
  <c r="E75" i="2" s="1"/>
  <c r="E76" i="2"/>
  <c r="E74" i="2" s="1"/>
  <c r="D77" i="2"/>
  <c r="D76" i="2"/>
  <c r="D74" i="2" s="1"/>
  <c r="J76" i="2"/>
  <c r="J73" i="2" s="1"/>
  <c r="K76" i="2"/>
  <c r="K73" i="2" s="1"/>
  <c r="H76" i="2"/>
  <c r="H74" i="2" s="1"/>
  <c r="F77" i="2"/>
  <c r="F75" i="2" s="1"/>
  <c r="F76" i="2"/>
  <c r="F73" i="2" s="1"/>
  <c r="E73" i="2" l="1"/>
  <c r="F74" i="2"/>
  <c r="H73" i="2"/>
  <c r="J74" i="2"/>
  <c r="F3" i="1" l="1"/>
  <c r="F21" i="1" l="1"/>
  <c r="F22" i="1"/>
  <c r="I21" i="1" l="1"/>
  <c r="I22" i="1"/>
  <c r="I3" i="1"/>
  <c r="J65" i="2"/>
  <c r="H65" i="2"/>
  <c r="K45" i="2"/>
  <c r="J45" i="2"/>
  <c r="I45" i="2"/>
  <c r="H45" i="2"/>
  <c r="D45" i="2"/>
  <c r="K44" i="2"/>
  <c r="J44" i="2"/>
  <c r="I44" i="2"/>
  <c r="H44" i="2"/>
  <c r="G44" i="2"/>
  <c r="D44" i="2"/>
  <c r="K39" i="2"/>
  <c r="J39" i="2"/>
  <c r="I39" i="2"/>
  <c r="H39" i="2"/>
  <c r="D39" i="2"/>
  <c r="K38" i="2"/>
  <c r="I38" i="2"/>
  <c r="H38" i="2"/>
  <c r="G38" i="2"/>
  <c r="D38" i="2"/>
  <c r="L21" i="2"/>
  <c r="L20" i="2"/>
  <c r="N6" i="2"/>
  <c r="K64" i="2"/>
  <c r="H64" i="2"/>
  <c r="M21" i="2"/>
  <c r="M20" i="2"/>
  <c r="K21" i="2"/>
  <c r="K20" i="2"/>
  <c r="H21" i="2"/>
  <c r="M66" i="2" s="1"/>
  <c r="H20" i="2"/>
  <c r="M65" i="2" s="1"/>
  <c r="G21" i="2"/>
  <c r="L66" i="2" s="1"/>
  <c r="G20" i="2"/>
  <c r="L65" i="2" s="1"/>
  <c r="F21" i="2"/>
  <c r="J66" i="2" s="1"/>
  <c r="F20" i="2"/>
  <c r="E20" i="2"/>
  <c r="K65" i="2" s="1"/>
  <c r="E21" i="2"/>
  <c r="K66" i="2" s="1"/>
  <c r="D21" i="2"/>
  <c r="H66" i="2" s="1"/>
  <c r="D20" i="2"/>
  <c r="K9" i="2"/>
  <c r="K8" i="2"/>
  <c r="J9" i="2"/>
  <c r="G66" i="2" s="1"/>
  <c r="J8" i="2"/>
  <c r="G65" i="2" s="1"/>
  <c r="I9" i="2"/>
  <c r="I8" i="2"/>
  <c r="H9" i="2"/>
  <c r="D8" i="2"/>
  <c r="D9" i="2"/>
  <c r="F66" i="2" s="1"/>
  <c r="H8" i="2"/>
  <c r="F18" i="1"/>
  <c r="I18" i="1" s="1"/>
  <c r="F4" i="1"/>
  <c r="I4" i="1" s="1"/>
  <c r="F15" i="1"/>
  <c r="I15" i="1" s="1"/>
  <c r="F14" i="1"/>
  <c r="I14" i="1" s="1"/>
  <c r="L4" i="1" l="1"/>
  <c r="F17" i="1"/>
  <c r="I17" i="1" s="1"/>
  <c r="L3" i="1" s="1"/>
  <c r="M64" i="2" l="1"/>
  <c r="L64" i="2"/>
  <c r="J64" i="2"/>
  <c r="H68" i="2" l="1"/>
  <c r="I68" i="2"/>
  <c r="M68" i="2"/>
  <c r="N68" i="2"/>
  <c r="O68" i="2"/>
  <c r="P68" i="2"/>
  <c r="H69" i="2"/>
  <c r="I69" i="2"/>
  <c r="K69" i="2"/>
  <c r="M69" i="2"/>
  <c r="N69" i="2"/>
  <c r="O69" i="2"/>
  <c r="K68" i="2"/>
  <c r="P69" i="2"/>
  <c r="N44" i="2"/>
  <c r="E65" i="2" s="1"/>
  <c r="N45" i="2"/>
  <c r="E66" i="2" s="1"/>
  <c r="G69" i="2"/>
  <c r="F69" i="2"/>
  <c r="N38" i="2" l="1"/>
  <c r="D65" i="2" s="1"/>
  <c r="N39" i="2"/>
  <c r="D66" i="2" s="1"/>
  <c r="R68" i="2"/>
  <c r="R69" i="2"/>
  <c r="J69" i="2"/>
  <c r="J68" i="2"/>
  <c r="Q69" i="2"/>
  <c r="Q68" i="2"/>
  <c r="L68" i="2"/>
  <c r="L69" i="2"/>
  <c r="E69" i="2"/>
  <c r="E68" i="2"/>
  <c r="D69" i="2"/>
  <c r="D68" i="2"/>
  <c r="G8" i="2"/>
  <c r="G68" i="2" l="1"/>
  <c r="F65" i="2"/>
  <c r="F68" i="2" s="1"/>
  <c r="N9" i="2"/>
  <c r="N8" i="2"/>
  <c r="N21" i="2"/>
  <c r="N20" i="2"/>
  <c r="N23" i="2"/>
  <c r="F64" i="2" s="1"/>
  <c r="N11" i="2"/>
  <c r="N17" i="2"/>
  <c r="N36" i="2"/>
  <c r="N18" i="2"/>
  <c r="N35" i="2"/>
  <c r="N47" i="2"/>
  <c r="E64" i="2" s="1"/>
  <c r="N53" i="2"/>
  <c r="J11" i="2"/>
  <c r="G64" i="2" s="1"/>
  <c r="D64" i="2" l="1"/>
  <c r="N61" i="2"/>
  <c r="N60" i="2"/>
  <c r="N41" i="2"/>
  <c r="N42" i="2"/>
  <c r="N5" i="2" l="1"/>
  <c r="N59" i="2" l="1"/>
  <c r="N3" i="2"/>
  <c r="E2" i="1" l="1"/>
  <c r="E20" i="1"/>
  <c r="N29" i="2"/>
  <c r="N58" i="2" s="1"/>
  <c r="E30" i="1" l="1"/>
</calcChain>
</file>

<file path=xl/comments1.xml><?xml version="1.0" encoding="utf-8"?>
<comments xmlns="http://schemas.openxmlformats.org/spreadsheetml/2006/main">
  <authors>
    <author>Autor</author>
  </authors>
  <commentList>
    <comment ref="J6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sloučená výluka na všechny opravy v ŽST Ostrava - Vítkovice - multiprofesní (výhybky, koleje, spodek, nástupiště, mosty, propustky, zdi) 
</t>
        </r>
      </text>
    </comment>
    <comment ref="H7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7 dní na každý typ výluky</t>
        </r>
      </text>
    </comment>
    <comment ref="B22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propustky rozloženy do samostatného řádku pro přehlednost
</t>
        </r>
      </text>
    </comment>
    <comment ref="K42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není uvažována výluka pro ŽST Kunčice při výměně současného SSZ typu ETB za ESA 44</t>
        </r>
      </text>
    </comment>
  </commentList>
</comments>
</file>

<file path=xl/sharedStrings.xml><?xml version="1.0" encoding="utf-8"?>
<sst xmlns="http://schemas.openxmlformats.org/spreadsheetml/2006/main" count="231" uniqueCount="104">
  <si>
    <t>1. etapa</t>
  </si>
  <si>
    <t>1. pracovní postup</t>
  </si>
  <si>
    <t>výluka</t>
  </si>
  <si>
    <t>A1</t>
  </si>
  <si>
    <t>B2</t>
  </si>
  <si>
    <t>B4</t>
  </si>
  <si>
    <t>E1</t>
  </si>
  <si>
    <t>C1</t>
  </si>
  <si>
    <t>D2</t>
  </si>
  <si>
    <t>D3</t>
  </si>
  <si>
    <t>2. pracovní postup</t>
  </si>
  <si>
    <t>B5</t>
  </si>
  <si>
    <t>3. pracovní postup</t>
  </si>
  <si>
    <t>4. pracovní postup</t>
  </si>
  <si>
    <t>B6</t>
  </si>
  <si>
    <t>E2</t>
  </si>
  <si>
    <t>Počet dní</t>
  </si>
  <si>
    <t>2. Etapa</t>
  </si>
  <si>
    <t>poznámky</t>
  </si>
  <si>
    <t>Profese</t>
  </si>
  <si>
    <t>popis</t>
  </si>
  <si>
    <t>Dílčí opravy spodku a svršku jsou navrženy především z hlediska havarijního odvodnění a jsou navrženy po úsecích dle technického stavu</t>
  </si>
  <si>
    <t>ŽST Ostrava Svinov - Odb. Odra</t>
  </si>
  <si>
    <t>Výh. Polanka nad Odrou - odb. odra</t>
  </si>
  <si>
    <t>Počty dní výluk</t>
  </si>
  <si>
    <t>Celkem</t>
  </si>
  <si>
    <t>ŽST Ostrava - Vítkovice</t>
  </si>
  <si>
    <t>Odb. Odra</t>
  </si>
  <si>
    <t>-</t>
  </si>
  <si>
    <t>celkem</t>
  </si>
  <si>
    <t xml:space="preserve">Opravy trakčního zařízení také zahrnují přípravu na plánovanou konverzi napájení TV na 25 kV AC, opravy budou vždy probíhat při výluce jedné traťové koleje. V ŽST Ostrava Vítkovice budou vyloučena sudá skupina kolejí a následně lichá. V průběhu stav. Prací v úseku ŽST Ostrava Svinov - Odb. Odra budou vlaky jezdit odklonem přes Výh. Pol. n. Odrou. a opačně. </t>
  </si>
  <si>
    <t>Opravy sdělovacího zařízení jsou plánovány spolu s opravamy Zabzař. Případné dílčí opravy nebudou mít vliv na výluky</t>
  </si>
  <si>
    <t xml:space="preserve">Do roku 2025 je nutný přechod na výhradníprovoz ETCS a zároveň úprava stávajícího zabezpečovacího zařízení, stavební úpravy jsou plánovány v celém useků. Nebude DOZ, je potřeba upravovat zabzař? </t>
  </si>
  <si>
    <t>délka výluky (počet dní)</t>
  </si>
  <si>
    <t>náklady</t>
  </si>
  <si>
    <t>typ výluky dle přílohy XXXX</t>
  </si>
  <si>
    <t>rok realizace opravy</t>
  </si>
  <si>
    <t>Železniční spodek a svršek</t>
  </si>
  <si>
    <t>viz buňka H6</t>
  </si>
  <si>
    <t>celkové zpoždění</t>
  </si>
  <si>
    <t>Mosty propustky zdi</t>
  </si>
  <si>
    <t>Energetická zařízení</t>
  </si>
  <si>
    <t>výluka sloučena s žel. spodkem</t>
  </si>
  <si>
    <t>viz buňka J6</t>
  </si>
  <si>
    <t>Sdělovací zařízení</t>
  </si>
  <si>
    <t xml:space="preserve">Silnoproudé zařízení </t>
  </si>
  <si>
    <t xml:space="preserve"> ETCS -Zabezpečovací zařízení</t>
  </si>
  <si>
    <t>Nástupiště + oprava zastřešení</t>
  </si>
  <si>
    <t>celkové zpoždění v osobní dopravě</t>
  </si>
  <si>
    <t>celkové zpoždění v nákladní dopravě</t>
  </si>
  <si>
    <t>ŽST Ostrava Vítkovice - ŽST Ostrava Kunčice vč.</t>
  </si>
  <si>
    <t>délka výluky v rámci ZabZař</t>
  </si>
  <si>
    <t>délka výluky v rámci trakčního zařízení</t>
  </si>
  <si>
    <t>součet nákladů</t>
  </si>
  <si>
    <t>součet výluk dny</t>
  </si>
  <si>
    <t>D1, D2, D3</t>
  </si>
  <si>
    <t>km</t>
  </si>
  <si>
    <t xml:space="preserve">B2 (14), B3 (7), B4 (21), B6 (108) </t>
  </si>
  <si>
    <t>Trakční zařízení</t>
  </si>
  <si>
    <t>Odb. Odra - ŽST Ostrava Vítkovice</t>
  </si>
  <si>
    <t xml:space="preserve">Opravy přístřešku a výpravní budovy nevyžadují zavádění dlouhodobých výluk. </t>
  </si>
  <si>
    <t>Mosty jsou v technickém stavu odpovídajícícm jejich zprovoznení cca okolo roku 1965. V rámci prací je uvažováno s výlukou jedné koleje.</t>
  </si>
  <si>
    <t>B1(8),B2(8),B3(2),B4(7),B5(5),B6(25)</t>
  </si>
  <si>
    <t>Osobní</t>
  </si>
  <si>
    <t>součet zpoždění osobní doprava (min)</t>
  </si>
  <si>
    <t>součet zpoždění nákladní doprava (min)</t>
  </si>
  <si>
    <t>Nákladní</t>
  </si>
  <si>
    <t>2023-2024</t>
  </si>
  <si>
    <t>Propustek 0,613 - 2025</t>
  </si>
  <si>
    <t>Propustek 2,127 - 2025</t>
  </si>
  <si>
    <t>Propustek 2,535 - 2025</t>
  </si>
  <si>
    <t>Propustky 38,878; 38,498; 38,170 - 2025</t>
  </si>
  <si>
    <t>Propustek 36,873 - 2025</t>
  </si>
  <si>
    <t>Propustky 31,537; 31,644; 31,814; - 2025</t>
  </si>
  <si>
    <t>Most 1,306 - 2027</t>
  </si>
  <si>
    <t>Most 31,599 - 2027</t>
  </si>
  <si>
    <t>Most 38,144 - 2031</t>
  </si>
  <si>
    <t>Most 37,868 - 2032</t>
  </si>
  <si>
    <t>Most 31,963 - 2032</t>
  </si>
  <si>
    <t>Most 0,587 - 2029</t>
  </si>
  <si>
    <t>C1+B4</t>
  </si>
  <si>
    <t>B7</t>
  </si>
  <si>
    <t>A2+C2</t>
  </si>
  <si>
    <t xml:space="preserve">Nákladní </t>
  </si>
  <si>
    <t>B6+B3</t>
  </si>
  <si>
    <t>Most 0,308 - 2030</t>
  </si>
  <si>
    <t>Most 32,416 - 2030</t>
  </si>
  <si>
    <t>osobní</t>
  </si>
  <si>
    <t>nákladní</t>
  </si>
  <si>
    <t>A2, C2</t>
  </si>
  <si>
    <t>B2, B7</t>
  </si>
  <si>
    <t>B3, B6</t>
  </si>
  <si>
    <t>D1</t>
  </si>
  <si>
    <t>C1+B1+B4+D1</t>
  </si>
  <si>
    <t>A1, C1, B1</t>
  </si>
  <si>
    <t>2024-2025</t>
  </si>
  <si>
    <t>vlkm</t>
  </si>
  <si>
    <t>E2, D2</t>
  </si>
  <si>
    <t>E1, D3</t>
  </si>
  <si>
    <t>E1(75), E2(75)</t>
  </si>
  <si>
    <t>E1+D1</t>
  </si>
  <si>
    <t>E2+D2</t>
  </si>
  <si>
    <t>nákladní E1</t>
  </si>
  <si>
    <t>nákladní 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</si>
</sst>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4" fillId="7" borderId="0" applyNumberFormat="0" applyBorder="0" applyAlignment="0" applyProtection="0"/>
    <xf numFmtId="0" fontId="2" fillId="8" borderId="0" applyNumberFormat="0" applyBorder="0" applyAlignment="0" applyProtection="0"/>
    <xf numFmtId="0" fontId="4" fillId="9" borderId="0" applyNumberFormat="0" applyBorder="0" applyAlignment="0" applyProtection="0"/>
  </cellStyleXfs>
  <cellXfs count="78">
    <xf numFmtId="0" fontId="0" fillId="0" borderId="0" xfId="0"/>
    <xf numFmtId="0" fontId="4" fillId="5" borderId="0" xfId="4"/>
    <xf numFmtId="0" fontId="2" fillId="8" borderId="0" xfId="7"/>
    <xf numFmtId="0" fontId="4" fillId="7" borderId="0" xfId="6"/>
    <xf numFmtId="0" fontId="2" fillId="6" borderId="0" xfId="5"/>
    <xf numFmtId="0" fontId="4" fillId="3" borderId="0" xfId="2"/>
    <xf numFmtId="0" fontId="2" fillId="8" borderId="0" xfId="7" applyAlignment="1">
      <alignment horizontal="right"/>
    </xf>
    <xf numFmtId="0" fontId="0" fillId="0" borderId="0" xfId="0" applyAlignment="1">
      <alignment horizontal="right"/>
    </xf>
    <xf numFmtId="0" fontId="4" fillId="5" borderId="0" xfId="4" applyAlignment="1">
      <alignment horizontal="right"/>
    </xf>
    <xf numFmtId="0" fontId="2" fillId="6" borderId="0" xfId="5" applyAlignment="1">
      <alignment horizontal="right"/>
    </xf>
    <xf numFmtId="0" fontId="0" fillId="0" borderId="0" xfId="0" applyAlignment="1">
      <alignment horizontal="center"/>
    </xf>
    <xf numFmtId="0" fontId="4" fillId="3" borderId="1" xfId="2" applyBorder="1"/>
    <xf numFmtId="0" fontId="4" fillId="3" borderId="1" xfId="2" applyBorder="1" applyAlignment="1">
      <alignment horizontal="center"/>
    </xf>
    <xf numFmtId="0" fontId="4" fillId="7" borderId="1" xfId="6" applyBorder="1" applyAlignment="1">
      <alignment horizontal="right" vertical="center"/>
    </xf>
    <xf numFmtId="0" fontId="4" fillId="9" borderId="1" xfId="8" applyBorder="1" applyAlignment="1">
      <alignment horizontal="right" vertical="center"/>
    </xf>
    <xf numFmtId="0" fontId="4" fillId="2" borderId="0" xfId="1"/>
    <xf numFmtId="0" fontId="4" fillId="2" borderId="3" xfId="1" applyBorder="1" applyAlignment="1">
      <alignment horizontal="left" indent="2"/>
    </xf>
    <xf numFmtId="0" fontId="4" fillId="2" borderId="4" xfId="1" applyBorder="1"/>
    <xf numFmtId="0" fontId="4" fillId="2" borderId="2" xfId="1" applyBorder="1"/>
    <xf numFmtId="0" fontId="1" fillId="6" borderId="0" xfId="5" applyFont="1" applyAlignment="1">
      <alignment horizontal="right"/>
    </xf>
    <xf numFmtId="0" fontId="4" fillId="3" borderId="5" xfId="2" applyBorder="1"/>
    <xf numFmtId="0" fontId="4" fillId="2" borderId="4" xfId="1" applyBorder="1" applyAlignment="1">
      <alignment horizontal="left" indent="2"/>
    </xf>
    <xf numFmtId="0" fontId="4" fillId="7" borderId="1" xfId="6" applyFont="1" applyBorder="1" applyAlignment="1">
      <alignment horizontal="left"/>
    </xf>
    <xf numFmtId="0" fontId="4" fillId="3" borderId="5" xfId="2" applyBorder="1" applyAlignment="1">
      <alignment horizontal="center"/>
    </xf>
    <xf numFmtId="0" fontId="4" fillId="7" borderId="10" xfId="6" applyFont="1" applyBorder="1" applyAlignment="1">
      <alignment horizontal="left"/>
    </xf>
    <xf numFmtId="0" fontId="4" fillId="7" borderId="10" xfId="6" applyBorder="1" applyAlignment="1">
      <alignment horizontal="right" vertical="center"/>
    </xf>
    <xf numFmtId="0" fontId="4" fillId="9" borderId="10" xfId="8" applyBorder="1" applyAlignment="1">
      <alignment horizontal="right" vertical="center"/>
    </xf>
    <xf numFmtId="0" fontId="4" fillId="7" borderId="14" xfId="6" applyBorder="1" applyAlignment="1">
      <alignment horizontal="left" vertical="center" wrapText="1"/>
    </xf>
    <xf numFmtId="0" fontId="4" fillId="7" borderId="16" xfId="6" applyBorder="1" applyAlignment="1">
      <alignment horizontal="left" vertical="center" wrapText="1"/>
    </xf>
    <xf numFmtId="0" fontId="4" fillId="7" borderId="18" xfId="6" applyFont="1" applyBorder="1" applyAlignment="1">
      <alignment horizontal="left"/>
    </xf>
    <xf numFmtId="0" fontId="4" fillId="7" borderId="18" xfId="6" applyBorder="1" applyAlignment="1">
      <alignment horizontal="right" vertical="center"/>
    </xf>
    <xf numFmtId="0" fontId="4" fillId="9" borderId="18" xfId="8" applyBorder="1" applyAlignment="1">
      <alignment horizontal="right" vertical="center"/>
    </xf>
    <xf numFmtId="0" fontId="4" fillId="7" borderId="22" xfId="6" applyBorder="1" applyAlignment="1">
      <alignment horizontal="left" vertical="center" wrapText="1"/>
    </xf>
    <xf numFmtId="0" fontId="4" fillId="7" borderId="7" xfId="6" applyBorder="1" applyAlignment="1">
      <alignment horizontal="center" vertical="center"/>
    </xf>
    <xf numFmtId="0" fontId="4" fillId="7" borderId="6" xfId="6" applyBorder="1" applyAlignment="1">
      <alignment horizontal="center" vertical="center"/>
    </xf>
    <xf numFmtId="0" fontId="4" fillId="7" borderId="8" xfId="6" applyBorder="1" applyAlignment="1">
      <alignment horizontal="center" vertical="center"/>
    </xf>
    <xf numFmtId="0" fontId="4" fillId="7" borderId="5" xfId="6" applyBorder="1" applyAlignment="1">
      <alignment horizontal="right" vertical="center"/>
    </xf>
    <xf numFmtId="0" fontId="4" fillId="9" borderId="5" xfId="8" applyBorder="1" applyAlignment="1">
      <alignment horizontal="right" vertical="center"/>
    </xf>
    <xf numFmtId="0" fontId="4" fillId="7" borderId="23" xfId="6" applyBorder="1" applyAlignment="1">
      <alignment horizontal="left" vertical="center" wrapText="1"/>
    </xf>
    <xf numFmtId="2" fontId="4" fillId="7" borderId="1" xfId="6" applyNumberFormat="1" applyBorder="1" applyAlignment="1">
      <alignment horizontal="right" vertical="center"/>
    </xf>
    <xf numFmtId="2" fontId="4" fillId="7" borderId="1" xfId="6" applyNumberFormat="1" applyFont="1" applyBorder="1" applyAlignment="1">
      <alignment horizontal="left"/>
    </xf>
    <xf numFmtId="2" fontId="4" fillId="9" borderId="1" xfId="8" applyNumberFormat="1" applyBorder="1" applyAlignment="1">
      <alignment horizontal="right" vertical="center"/>
    </xf>
    <xf numFmtId="2" fontId="4" fillId="2" borderId="4" xfId="1" applyNumberFormat="1" applyBorder="1"/>
    <xf numFmtId="0" fontId="4" fillId="7" borderId="10" xfId="6" applyFont="1" applyBorder="1" applyAlignment="1">
      <alignment horizontal="center"/>
    </xf>
    <xf numFmtId="0" fontId="4" fillId="7" borderId="10" xfId="6" applyBorder="1" applyAlignment="1">
      <alignment horizontal="center" vertical="center"/>
    </xf>
    <xf numFmtId="2" fontId="0" fillId="0" borderId="0" xfId="0" applyNumberFormat="1"/>
    <xf numFmtId="0" fontId="0" fillId="10" borderId="0" xfId="0" applyFill="1"/>
    <xf numFmtId="0" fontId="1" fillId="8" borderId="0" xfId="7" applyFont="1"/>
    <xf numFmtId="0" fontId="1" fillId="6" borderId="0" xfId="5" applyFont="1"/>
    <xf numFmtId="0" fontId="0" fillId="0" borderId="6" xfId="0" applyBorder="1"/>
    <xf numFmtId="0" fontId="0" fillId="0" borderId="8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4" fillId="7" borderId="1" xfId="6" applyBorder="1" applyAlignment="1">
      <alignment horizontal="center" vertical="center"/>
    </xf>
    <xf numFmtId="0" fontId="4" fillId="7" borderId="3" xfId="6" applyBorder="1" applyAlignment="1">
      <alignment horizontal="center" vertical="center"/>
    </xf>
    <xf numFmtId="0" fontId="4" fillId="7" borderId="4" xfId="6" applyBorder="1" applyAlignment="1">
      <alignment horizontal="center" vertical="center"/>
    </xf>
    <xf numFmtId="0" fontId="4" fillId="7" borderId="2" xfId="6" applyBorder="1" applyAlignment="1">
      <alignment horizontal="center" vertical="center"/>
    </xf>
    <xf numFmtId="0" fontId="4" fillId="7" borderId="19" xfId="6" applyBorder="1" applyAlignment="1">
      <alignment horizontal="center" vertical="center"/>
    </xf>
    <xf numFmtId="0" fontId="4" fillId="7" borderId="20" xfId="6" applyBorder="1" applyAlignment="1">
      <alignment horizontal="center" vertical="center"/>
    </xf>
    <xf numFmtId="0" fontId="4" fillId="7" borderId="21" xfId="6" applyBorder="1" applyAlignment="1">
      <alignment horizontal="center" vertical="center"/>
    </xf>
    <xf numFmtId="0" fontId="4" fillId="7" borderId="11" xfId="6" applyBorder="1" applyAlignment="1">
      <alignment horizontal="center" vertical="center"/>
    </xf>
    <xf numFmtId="0" fontId="4" fillId="7" borderId="12" xfId="6" applyBorder="1" applyAlignment="1">
      <alignment horizontal="center" vertical="center"/>
    </xf>
    <xf numFmtId="0" fontId="4" fillId="7" borderId="13" xfId="6" applyBorder="1" applyAlignment="1">
      <alignment horizontal="center" vertical="center"/>
    </xf>
    <xf numFmtId="2" fontId="4" fillId="7" borderId="3" xfId="6" applyNumberFormat="1" applyBorder="1" applyAlignment="1">
      <alignment horizontal="center" vertical="center"/>
    </xf>
    <xf numFmtId="2" fontId="4" fillId="7" borderId="4" xfId="6" applyNumberFormat="1" applyBorder="1" applyAlignment="1">
      <alignment horizontal="center" vertical="center"/>
    </xf>
    <xf numFmtId="2" fontId="4" fillId="7" borderId="2" xfId="6" applyNumberFormat="1" applyBorder="1" applyAlignment="1">
      <alignment horizontal="center" vertical="center"/>
    </xf>
    <xf numFmtId="0" fontId="3" fillId="7" borderId="9" xfId="6" applyFont="1" applyBorder="1" applyAlignment="1">
      <alignment horizontal="center" vertical="center"/>
    </xf>
    <xf numFmtId="0" fontId="3" fillId="7" borderId="15" xfId="6" applyFont="1" applyBorder="1" applyAlignment="1">
      <alignment horizontal="center" vertical="center"/>
    </xf>
    <xf numFmtId="0" fontId="3" fillId="7" borderId="17" xfId="6" applyFont="1" applyBorder="1" applyAlignment="1">
      <alignment horizontal="center" vertical="center"/>
    </xf>
    <xf numFmtId="0" fontId="4" fillId="4" borderId="1" xfId="3" applyBorder="1" applyAlignment="1">
      <alignment horizontal="center"/>
    </xf>
    <xf numFmtId="0" fontId="4" fillId="3" borderId="3" xfId="2" applyBorder="1" applyAlignment="1">
      <alignment horizontal="center"/>
    </xf>
    <xf numFmtId="0" fontId="4" fillId="3" borderId="4" xfId="2" applyBorder="1" applyAlignment="1">
      <alignment horizontal="center"/>
    </xf>
    <xf numFmtId="0" fontId="4" fillId="3" borderId="2" xfId="2" applyBorder="1" applyAlignment="1">
      <alignment horizontal="center"/>
    </xf>
    <xf numFmtId="0" fontId="4" fillId="3" borderId="6" xfId="2" applyBorder="1" applyAlignment="1">
      <alignment horizontal="center"/>
    </xf>
    <xf numFmtId="0" fontId="4" fillId="3" borderId="7" xfId="2" applyBorder="1" applyAlignment="1">
      <alignment horizontal="center"/>
    </xf>
    <xf numFmtId="0" fontId="4" fillId="3" borderId="8" xfId="2" applyBorder="1" applyAlignment="1">
      <alignment horizontal="center"/>
    </xf>
  </cellXfs>
  <cellStyles count="9">
    <cellStyle name="20 % – Zvýraznění4" xfId="5" builtinId="42"/>
    <cellStyle name="20 % – Zvýraznění5" xfId="7" builtinId="46"/>
    <cellStyle name="60 % – Zvýraznění3" xfId="3" builtinId="40"/>
    <cellStyle name="60 % – Zvýraznění6" xfId="8" builtinId="52"/>
    <cellStyle name="Normální" xfId="0" builtinId="0"/>
    <cellStyle name="Zvýraznění 2" xfId="1" builtinId="33"/>
    <cellStyle name="Zvýraznění 3" xfId="2" builtinId="37"/>
    <cellStyle name="Zvýraznění 4" xfId="4" builtinId="41"/>
    <cellStyle name="Zvýraznění 5" xfId="6" builtin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workbookViewId="0">
      <selection activeCell="L10" sqref="L10:O15"/>
    </sheetView>
  </sheetViews>
  <sheetFormatPr defaultRowHeight="15" x14ac:dyDescent="0.25"/>
  <cols>
    <col min="1" max="1" width="8" bestFit="1" customWidth="1"/>
    <col min="2" max="2" width="17.28515625" bestFit="1" customWidth="1"/>
    <col min="6" max="6" width="60.28515625" customWidth="1"/>
    <col min="12" max="12" width="10.85546875" customWidth="1"/>
    <col min="13" max="13" width="9.7109375" customWidth="1"/>
  </cols>
  <sheetData>
    <row r="1" spans="2:15" x14ac:dyDescent="0.25">
      <c r="B1" s="5"/>
      <c r="C1" s="5" t="s">
        <v>2</v>
      </c>
      <c r="D1" s="5"/>
      <c r="E1" s="5" t="s">
        <v>16</v>
      </c>
      <c r="F1" s="5" t="s">
        <v>18</v>
      </c>
    </row>
    <row r="2" spans="2:15" x14ac:dyDescent="0.25">
      <c r="B2" s="3" t="s">
        <v>0</v>
      </c>
      <c r="C2" s="3"/>
      <c r="D2" s="3"/>
      <c r="E2" s="3">
        <f>SUM(E3:E18)</f>
        <v>430</v>
      </c>
      <c r="F2" s="3"/>
    </row>
    <row r="3" spans="2:15" x14ac:dyDescent="0.25">
      <c r="B3" s="2" t="s">
        <v>1</v>
      </c>
      <c r="C3" s="47" t="s">
        <v>3</v>
      </c>
      <c r="D3" s="2"/>
      <c r="E3" s="2">
        <v>225</v>
      </c>
      <c r="F3" s="6">
        <f>E3*375+E3*375+637.5*E7</f>
        <v>181500</v>
      </c>
      <c r="G3" t="s">
        <v>63</v>
      </c>
      <c r="H3" t="s">
        <v>67</v>
      </c>
      <c r="I3">
        <f>F3/60</f>
        <v>3025</v>
      </c>
      <c r="L3">
        <f>I3+I14+I17+I21</f>
        <v>8271.2916666666661</v>
      </c>
    </row>
    <row r="4" spans="2:15" x14ac:dyDescent="0.25">
      <c r="B4" s="2"/>
      <c r="C4" s="47" t="s">
        <v>4</v>
      </c>
      <c r="D4" s="2"/>
      <c r="E4" s="2"/>
      <c r="F4" s="6">
        <f>E3*370+E3*370+E7*168</f>
        <v>169860</v>
      </c>
      <c r="G4" t="s">
        <v>66</v>
      </c>
      <c r="I4">
        <f>F4/60</f>
        <v>2831</v>
      </c>
      <c r="L4">
        <f>I4+I15+I18+I22</f>
        <v>6882</v>
      </c>
    </row>
    <row r="5" spans="2:15" x14ac:dyDescent="0.25">
      <c r="B5" s="2"/>
      <c r="C5" s="47" t="s">
        <v>93</v>
      </c>
      <c r="D5" s="2"/>
      <c r="E5" s="2"/>
      <c r="F5" s="6"/>
    </row>
    <row r="6" spans="2:15" x14ac:dyDescent="0.25">
      <c r="B6" s="2"/>
      <c r="C6" s="47" t="s">
        <v>81</v>
      </c>
      <c r="D6" s="2"/>
      <c r="E6" s="2"/>
      <c r="F6" s="6"/>
    </row>
    <row r="7" spans="2:15" x14ac:dyDescent="0.25">
      <c r="B7" s="2"/>
      <c r="C7" s="47" t="s">
        <v>6</v>
      </c>
      <c r="D7" s="2"/>
      <c r="E7" s="2">
        <v>20</v>
      </c>
      <c r="F7" s="6"/>
    </row>
    <row r="8" spans="2:15" x14ac:dyDescent="0.25">
      <c r="B8" s="2"/>
      <c r="C8" s="2"/>
      <c r="D8" s="2"/>
      <c r="E8" s="2"/>
      <c r="F8" s="6"/>
    </row>
    <row r="9" spans="2:15" x14ac:dyDescent="0.25">
      <c r="B9" s="2"/>
      <c r="C9" s="2"/>
      <c r="D9" s="2"/>
      <c r="E9" s="2"/>
      <c r="F9" s="6"/>
    </row>
    <row r="10" spans="2:15" x14ac:dyDescent="0.25">
      <c r="B10" s="2"/>
      <c r="C10" s="2"/>
      <c r="D10" s="2"/>
      <c r="E10" s="2"/>
      <c r="F10" s="6"/>
      <c r="L10" t="s">
        <v>96</v>
      </c>
      <c r="M10">
        <v>2023</v>
      </c>
      <c r="N10">
        <v>2024</v>
      </c>
      <c r="O10">
        <v>2025</v>
      </c>
    </row>
    <row r="11" spans="2:15" x14ac:dyDescent="0.25">
      <c r="B11" s="2"/>
      <c r="C11" s="2"/>
      <c r="D11" s="2"/>
      <c r="E11" s="2"/>
      <c r="F11" s="6"/>
      <c r="L11" t="s">
        <v>87</v>
      </c>
      <c r="M11">
        <f>75*(8.1-3.8)*M14</f>
        <v>0</v>
      </c>
      <c r="N11">
        <f t="shared" ref="N11:O11" si="0">75*(8.1-3.8)*N14</f>
        <v>29025</v>
      </c>
      <c r="O11">
        <f t="shared" si="0"/>
        <v>34830</v>
      </c>
    </row>
    <row r="12" spans="2:15" x14ac:dyDescent="0.25">
      <c r="B12" s="2"/>
      <c r="C12" s="2"/>
      <c r="D12" s="2"/>
      <c r="E12" s="2"/>
      <c r="F12" s="6"/>
      <c r="L12" t="s">
        <v>102</v>
      </c>
      <c r="M12">
        <f>12*(12.6-16.3)*M14</f>
        <v>0</v>
      </c>
      <c r="N12">
        <f t="shared" ref="N12" si="1">12*(12.6-16.3)*N14</f>
        <v>-3996.0000000000014</v>
      </c>
      <c r="O12">
        <f>15*(12.6-16.3)*O14</f>
        <v>-5994.0000000000018</v>
      </c>
    </row>
    <row r="13" spans="2:15" x14ac:dyDescent="0.25">
      <c r="B13" s="2"/>
      <c r="C13" s="2"/>
      <c r="D13" s="2"/>
      <c r="E13" s="2"/>
      <c r="F13" s="6"/>
      <c r="L13" t="s">
        <v>103</v>
      </c>
      <c r="M13">
        <f>25*(17.9-10.3)*M15</f>
        <v>0</v>
      </c>
      <c r="N13">
        <f t="shared" ref="N13" si="2">25*(17.9-10.3)*N15</f>
        <v>0</v>
      </c>
      <c r="O13">
        <f>29*(17.9-10.3)*O15</f>
        <v>41875.999999999993</v>
      </c>
    </row>
    <row r="14" spans="2:15" x14ac:dyDescent="0.25">
      <c r="B14" s="2" t="s">
        <v>10</v>
      </c>
      <c r="C14" s="47" t="s">
        <v>82</v>
      </c>
      <c r="D14" s="2"/>
      <c r="E14" s="2">
        <v>7</v>
      </c>
      <c r="F14" s="6">
        <f>E14*307.5</f>
        <v>2152.5</v>
      </c>
      <c r="G14" t="s">
        <v>63</v>
      </c>
      <c r="I14">
        <f t="shared" ref="I14:I22" si="3">F14/60</f>
        <v>35.875</v>
      </c>
      <c r="L14" t="s">
        <v>98</v>
      </c>
      <c r="N14">
        <f>20+70</f>
        <v>90</v>
      </c>
      <c r="O14">
        <v>108</v>
      </c>
    </row>
    <row r="15" spans="2:15" x14ac:dyDescent="0.25">
      <c r="B15" s="2"/>
      <c r="C15" s="2"/>
      <c r="D15" s="2"/>
      <c r="E15" s="2"/>
      <c r="F15" s="6">
        <f>E14*368</f>
        <v>2576</v>
      </c>
      <c r="G15" t="s">
        <v>66</v>
      </c>
      <c r="I15">
        <f t="shared" si="3"/>
        <v>42.93333333333333</v>
      </c>
      <c r="L15" t="s">
        <v>97</v>
      </c>
      <c r="O15">
        <v>190</v>
      </c>
    </row>
    <row r="16" spans="2:15" x14ac:dyDescent="0.25">
      <c r="B16" s="2"/>
      <c r="C16" s="2"/>
      <c r="D16" s="2"/>
      <c r="E16" s="2"/>
      <c r="F16" s="6"/>
    </row>
    <row r="17" spans="2:9" x14ac:dyDescent="0.25">
      <c r="B17" s="2"/>
      <c r="C17" s="2"/>
      <c r="D17" s="2"/>
      <c r="E17" s="2"/>
      <c r="F17" s="6">
        <f>E18*637.5</f>
        <v>113475</v>
      </c>
      <c r="G17" t="s">
        <v>63</v>
      </c>
      <c r="H17" t="s">
        <v>95</v>
      </c>
      <c r="I17">
        <f t="shared" si="3"/>
        <v>1891.25</v>
      </c>
    </row>
    <row r="18" spans="2:9" x14ac:dyDescent="0.25">
      <c r="B18" s="2" t="s">
        <v>12</v>
      </c>
      <c r="C18" s="47" t="s">
        <v>100</v>
      </c>
      <c r="D18" s="2"/>
      <c r="E18" s="2">
        <v>178</v>
      </c>
      <c r="F18" s="6">
        <f>E18*168</f>
        <v>29904</v>
      </c>
      <c r="G18" t="s">
        <v>66</v>
      </c>
      <c r="I18">
        <f t="shared" si="3"/>
        <v>498.4</v>
      </c>
    </row>
    <row r="19" spans="2:9" x14ac:dyDescent="0.25">
      <c r="F19" s="7"/>
    </row>
    <row r="20" spans="2:9" x14ac:dyDescent="0.25">
      <c r="B20" s="1" t="s">
        <v>17</v>
      </c>
      <c r="C20" s="1"/>
      <c r="D20" s="1"/>
      <c r="E20" s="1">
        <f>SUM(E21:E28)</f>
        <v>225</v>
      </c>
      <c r="F20" s="8"/>
    </row>
    <row r="21" spans="2:9" x14ac:dyDescent="0.25">
      <c r="B21" s="4" t="s">
        <v>13</v>
      </c>
      <c r="C21" s="48" t="s">
        <v>3</v>
      </c>
      <c r="D21" s="4"/>
      <c r="E21" s="4">
        <v>225</v>
      </c>
      <c r="F21" s="19">
        <f>E21*375+E21*375+190*160</f>
        <v>199150</v>
      </c>
      <c r="G21" t="s">
        <v>63</v>
      </c>
      <c r="H21">
        <v>2025</v>
      </c>
      <c r="I21">
        <f t="shared" si="3"/>
        <v>3319.1666666666665</v>
      </c>
    </row>
    <row r="22" spans="2:9" x14ac:dyDescent="0.25">
      <c r="B22" s="4"/>
      <c r="C22" s="48" t="s">
        <v>84</v>
      </c>
      <c r="D22" s="4"/>
      <c r="E22" s="4"/>
      <c r="F22" s="9">
        <f>E21*370+E21*370+190*232</f>
        <v>210580</v>
      </c>
      <c r="G22" t="s">
        <v>83</v>
      </c>
      <c r="I22">
        <f t="shared" si="3"/>
        <v>3509.6666666666665</v>
      </c>
    </row>
    <row r="23" spans="2:9" x14ac:dyDescent="0.25">
      <c r="B23" s="4"/>
      <c r="C23" s="48" t="s">
        <v>80</v>
      </c>
      <c r="D23" s="4"/>
      <c r="E23" s="4"/>
      <c r="F23" s="9"/>
    </row>
    <row r="24" spans="2:9" x14ac:dyDescent="0.25">
      <c r="B24" s="4"/>
      <c r="C24" s="48" t="s">
        <v>101</v>
      </c>
      <c r="D24" s="4"/>
      <c r="E24" s="4"/>
      <c r="F24" s="9"/>
    </row>
    <row r="25" spans="2:9" x14ac:dyDescent="0.25">
      <c r="B25" s="4"/>
      <c r="C25" s="48"/>
      <c r="D25" s="4"/>
      <c r="E25" s="4"/>
      <c r="F25" s="9"/>
    </row>
    <row r="26" spans="2:9" x14ac:dyDescent="0.25">
      <c r="B26" s="4"/>
      <c r="C26" s="48"/>
      <c r="D26" s="4"/>
      <c r="E26" s="4"/>
      <c r="F26" s="9"/>
    </row>
    <row r="27" spans="2:9" x14ac:dyDescent="0.25">
      <c r="B27" s="4"/>
      <c r="C27" s="4"/>
      <c r="D27" s="4"/>
      <c r="E27" s="4"/>
      <c r="F27" s="9"/>
    </row>
    <row r="28" spans="2:9" x14ac:dyDescent="0.25">
      <c r="B28" s="4"/>
      <c r="C28" s="4"/>
      <c r="D28" s="4"/>
      <c r="E28" s="4"/>
      <c r="F28" s="9"/>
    </row>
    <row r="30" spans="2:9" x14ac:dyDescent="0.25">
      <c r="B30" s="15" t="s">
        <v>29</v>
      </c>
      <c r="C30" s="15"/>
      <c r="D30" s="15"/>
      <c r="E30" s="15">
        <f>E20+E2</f>
        <v>655</v>
      </c>
      <c r="F30" s="15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77"/>
  <sheetViews>
    <sheetView tabSelected="1" topLeftCell="G31" zoomScale="85" zoomScaleNormal="85" workbookViewId="0">
      <selection activeCell="J42" activeCellId="1" sqref="O48 J42"/>
    </sheetView>
  </sheetViews>
  <sheetFormatPr defaultRowHeight="15" x14ac:dyDescent="0.25"/>
  <cols>
    <col min="2" max="2" width="33.85546875" bestFit="1" customWidth="1"/>
    <col min="3" max="5" width="33.85546875" customWidth="1"/>
    <col min="6" max="6" width="28.5703125" bestFit="1" customWidth="1"/>
    <col min="7" max="7" width="32.85546875" bestFit="1" customWidth="1"/>
    <col min="8" max="8" width="32.85546875" customWidth="1"/>
    <col min="9" max="9" width="30.28515625" bestFit="1" customWidth="1"/>
    <col min="10" max="10" width="33.42578125" customWidth="1"/>
    <col min="11" max="12" width="30.28515625" customWidth="1"/>
    <col min="13" max="13" width="39.7109375" bestFit="1" customWidth="1"/>
    <col min="14" max="15" width="39.7109375" customWidth="1"/>
    <col min="16" max="16" width="99" bestFit="1" customWidth="1"/>
    <col min="20" max="20" width="9.85546875" customWidth="1"/>
  </cols>
  <sheetData>
    <row r="1" spans="2:40" x14ac:dyDescent="0.25">
      <c r="F1" s="71" t="s">
        <v>24</v>
      </c>
      <c r="G1" s="71"/>
      <c r="H1" s="71"/>
      <c r="I1" s="71"/>
      <c r="J1" s="71"/>
      <c r="K1" s="71"/>
      <c r="L1" s="71"/>
      <c r="M1" s="71"/>
      <c r="N1" s="10"/>
      <c r="O1" s="10"/>
    </row>
    <row r="2" spans="2:40" x14ac:dyDescent="0.25">
      <c r="B2" s="11" t="s">
        <v>19</v>
      </c>
      <c r="C2" s="11"/>
      <c r="D2" s="72" t="s">
        <v>22</v>
      </c>
      <c r="E2" s="73"/>
      <c r="F2" s="74"/>
      <c r="G2" s="12" t="s">
        <v>23</v>
      </c>
      <c r="H2" s="12" t="s">
        <v>27</v>
      </c>
      <c r="I2" s="12" t="s">
        <v>59</v>
      </c>
      <c r="J2" s="12" t="s">
        <v>26</v>
      </c>
      <c r="K2" s="72" t="s">
        <v>50</v>
      </c>
      <c r="L2" s="73"/>
      <c r="M2" s="74"/>
      <c r="N2" s="12" t="s">
        <v>25</v>
      </c>
      <c r="O2" s="12"/>
      <c r="P2" s="11" t="s">
        <v>20</v>
      </c>
    </row>
    <row r="3" spans="2:40" ht="15.75" thickBot="1" x14ac:dyDescent="0.3">
      <c r="B3" s="20" t="s">
        <v>56</v>
      </c>
      <c r="C3" s="20"/>
      <c r="D3" s="75">
        <v>2.2999999999999998</v>
      </c>
      <c r="E3" s="76"/>
      <c r="F3" s="77"/>
      <c r="G3" s="23">
        <v>1</v>
      </c>
      <c r="H3" s="23">
        <v>0.5</v>
      </c>
      <c r="I3" s="23">
        <v>2.7</v>
      </c>
      <c r="J3" s="23">
        <v>1.5</v>
      </c>
      <c r="K3" s="75">
        <v>2.5</v>
      </c>
      <c r="L3" s="76"/>
      <c r="M3" s="77"/>
      <c r="N3" s="23">
        <f>SUM(D3:L3)</f>
        <v>10.5</v>
      </c>
      <c r="O3" s="23"/>
      <c r="P3" s="20"/>
      <c r="S3" s="49" t="s">
        <v>94</v>
      </c>
      <c r="T3" s="50"/>
      <c r="U3" s="49" t="s">
        <v>89</v>
      </c>
      <c r="V3" s="50"/>
      <c r="W3" s="49" t="s">
        <v>90</v>
      </c>
      <c r="X3" s="50"/>
      <c r="Y3" s="49" t="s">
        <v>91</v>
      </c>
      <c r="Z3" s="50"/>
      <c r="AA3" s="49" t="s">
        <v>5</v>
      </c>
      <c r="AB3" s="50"/>
      <c r="AC3" s="49" t="s">
        <v>11</v>
      </c>
      <c r="AD3" s="50"/>
      <c r="AE3" s="49" t="s">
        <v>92</v>
      </c>
      <c r="AF3" s="50"/>
      <c r="AG3" s="49" t="s">
        <v>8</v>
      </c>
      <c r="AH3" s="50"/>
      <c r="AI3" s="49" t="s">
        <v>9</v>
      </c>
      <c r="AJ3" s="50"/>
      <c r="AK3" s="49" t="s">
        <v>6</v>
      </c>
      <c r="AL3" s="50"/>
      <c r="AM3" s="49" t="s">
        <v>15</v>
      </c>
      <c r="AN3" s="50"/>
    </row>
    <row r="4" spans="2:40" ht="33" customHeight="1" x14ac:dyDescent="0.25">
      <c r="B4" s="68" t="s">
        <v>37</v>
      </c>
      <c r="C4" s="24" t="s">
        <v>36</v>
      </c>
      <c r="D4" s="62">
        <v>2025</v>
      </c>
      <c r="E4" s="63"/>
      <c r="F4" s="64"/>
      <c r="G4" s="25">
        <v>2025</v>
      </c>
      <c r="H4" s="25">
        <v>2023</v>
      </c>
      <c r="I4" s="25">
        <v>2025</v>
      </c>
      <c r="J4" s="25">
        <v>2026</v>
      </c>
      <c r="K4" s="62">
        <v>2025</v>
      </c>
      <c r="L4" s="63"/>
      <c r="M4" s="64"/>
      <c r="N4" s="26"/>
      <c r="O4" s="26"/>
      <c r="P4" s="28" t="s">
        <v>21</v>
      </c>
      <c r="S4" s="51" t="s">
        <v>87</v>
      </c>
      <c r="T4" s="52" t="s">
        <v>88</v>
      </c>
      <c r="U4" s="51" t="s">
        <v>87</v>
      </c>
      <c r="V4" s="52" t="s">
        <v>88</v>
      </c>
      <c r="W4" s="51" t="s">
        <v>87</v>
      </c>
      <c r="X4" s="52" t="s">
        <v>88</v>
      </c>
      <c r="Y4" s="51" t="s">
        <v>87</v>
      </c>
      <c r="Z4" s="52" t="s">
        <v>88</v>
      </c>
      <c r="AA4" s="51" t="s">
        <v>87</v>
      </c>
      <c r="AB4" s="52" t="s">
        <v>88</v>
      </c>
      <c r="AC4" s="51" t="s">
        <v>87</v>
      </c>
      <c r="AD4" s="52" t="s">
        <v>88</v>
      </c>
      <c r="AE4" s="51" t="s">
        <v>87</v>
      </c>
      <c r="AF4" s="52" t="s">
        <v>88</v>
      </c>
      <c r="AG4" s="51" t="s">
        <v>87</v>
      </c>
      <c r="AH4" s="52" t="s">
        <v>88</v>
      </c>
      <c r="AI4" s="51" t="s">
        <v>87</v>
      </c>
      <c r="AJ4" s="52" t="s">
        <v>88</v>
      </c>
      <c r="AK4" s="51" t="s">
        <v>87</v>
      </c>
      <c r="AL4" s="52" t="s">
        <v>88</v>
      </c>
      <c r="AM4" s="51" t="s">
        <v>87</v>
      </c>
      <c r="AN4" s="52" t="s">
        <v>88</v>
      </c>
    </row>
    <row r="5" spans="2:40" ht="17.25" customHeight="1" x14ac:dyDescent="0.25">
      <c r="B5" s="69"/>
      <c r="C5" s="22" t="s">
        <v>34</v>
      </c>
      <c r="D5" s="65">
        <v>62.739596596912214</v>
      </c>
      <c r="E5" s="66"/>
      <c r="F5" s="67" t="s">
        <v>28</v>
      </c>
      <c r="G5" s="39">
        <v>28.517998453141917</v>
      </c>
      <c r="H5" s="39">
        <v>57.035996906283835</v>
      </c>
      <c r="I5" s="39">
        <v>136.8863925750812</v>
      </c>
      <c r="J5" s="39">
        <v>159.70079133759475</v>
      </c>
      <c r="K5" s="65">
        <v>125.47919319382443</v>
      </c>
      <c r="L5" s="66"/>
      <c r="M5" s="67" t="s">
        <v>28</v>
      </c>
      <c r="N5" s="41">
        <f>SUM(D5:M5)</f>
        <v>570.35996906283833</v>
      </c>
      <c r="O5" s="14"/>
      <c r="P5" s="28"/>
      <c r="S5" s="51">
        <v>375</v>
      </c>
      <c r="T5" s="52">
        <v>370</v>
      </c>
      <c r="U5" s="51">
        <v>307.5</v>
      </c>
      <c r="V5" s="52">
        <v>368</v>
      </c>
      <c r="W5" s="51"/>
      <c r="X5" s="52"/>
      <c r="Y5" s="51">
        <v>160</v>
      </c>
      <c r="Z5" s="52"/>
      <c r="AA5" s="51">
        <v>375</v>
      </c>
      <c r="AB5" s="52">
        <v>370</v>
      </c>
      <c r="AC5" s="51">
        <v>307.5</v>
      </c>
      <c r="AD5" s="52">
        <v>368</v>
      </c>
      <c r="AE5" s="51">
        <v>375</v>
      </c>
      <c r="AF5" s="52">
        <v>370</v>
      </c>
      <c r="AG5" s="51">
        <v>375</v>
      </c>
      <c r="AH5" s="52">
        <v>200</v>
      </c>
      <c r="AI5" s="51">
        <v>637.5</v>
      </c>
      <c r="AJ5" s="52">
        <v>168</v>
      </c>
      <c r="AK5" s="51">
        <v>637.5</v>
      </c>
      <c r="AL5" s="52">
        <v>168</v>
      </c>
      <c r="AM5" s="51"/>
      <c r="AN5" s="52">
        <v>200</v>
      </c>
    </row>
    <row r="6" spans="2:40" x14ac:dyDescent="0.25">
      <c r="B6" s="69"/>
      <c r="C6" s="22" t="s">
        <v>33</v>
      </c>
      <c r="D6" s="56">
        <v>60</v>
      </c>
      <c r="E6" s="57"/>
      <c r="F6" s="58"/>
      <c r="G6" s="13">
        <v>45</v>
      </c>
      <c r="H6" s="13">
        <v>30</v>
      </c>
      <c r="I6" s="13">
        <v>130</v>
      </c>
      <c r="J6" s="13">
        <v>150</v>
      </c>
      <c r="K6" s="56">
        <v>130</v>
      </c>
      <c r="L6" s="57"/>
      <c r="M6" s="58">
        <v>70</v>
      </c>
      <c r="N6" s="14">
        <f>D6+G6+I6+J6</f>
        <v>385</v>
      </c>
      <c r="O6" s="14"/>
      <c r="P6" s="28"/>
      <c r="S6" s="51">
        <v>440</v>
      </c>
      <c r="T6" s="52">
        <v>440</v>
      </c>
      <c r="U6" s="51">
        <v>660</v>
      </c>
      <c r="V6" s="52">
        <v>442</v>
      </c>
      <c r="W6" s="51"/>
      <c r="X6" s="52"/>
      <c r="Y6" s="51"/>
      <c r="Z6" s="52"/>
      <c r="AA6" s="51">
        <v>440</v>
      </c>
      <c r="AB6" s="52">
        <v>440</v>
      </c>
      <c r="AC6" s="51">
        <v>660</v>
      </c>
      <c r="AD6" s="52">
        <v>442</v>
      </c>
      <c r="AE6" s="51">
        <v>440</v>
      </c>
      <c r="AF6" s="52">
        <v>440</v>
      </c>
      <c r="AG6" s="51">
        <v>440</v>
      </c>
      <c r="AH6" s="52">
        <v>232</v>
      </c>
      <c r="AI6" s="51">
        <v>748</v>
      </c>
      <c r="AJ6" s="52">
        <v>210</v>
      </c>
      <c r="AK6" s="51">
        <v>748</v>
      </c>
      <c r="AL6" s="52">
        <v>210</v>
      </c>
      <c r="AM6" s="51"/>
      <c r="AN6" s="52">
        <v>232</v>
      </c>
    </row>
    <row r="7" spans="2:40" x14ac:dyDescent="0.25">
      <c r="B7" s="69"/>
      <c r="C7" s="22" t="s">
        <v>35</v>
      </c>
      <c r="D7" s="56" t="s">
        <v>6</v>
      </c>
      <c r="E7" s="57"/>
      <c r="F7" s="58"/>
      <c r="G7" s="13" t="s">
        <v>15</v>
      </c>
      <c r="H7" s="13" t="s">
        <v>55</v>
      </c>
      <c r="I7" s="13" t="s">
        <v>7</v>
      </c>
      <c r="J7" s="13" t="s">
        <v>57</v>
      </c>
      <c r="K7" s="56" t="s">
        <v>3</v>
      </c>
      <c r="L7" s="57"/>
      <c r="M7" s="58"/>
      <c r="N7" s="14"/>
      <c r="O7" s="14"/>
      <c r="P7" s="28"/>
      <c r="S7" s="51"/>
      <c r="T7" s="52">
        <v>480</v>
      </c>
      <c r="U7" s="51"/>
      <c r="V7" s="52">
        <v>480</v>
      </c>
      <c r="W7" s="51"/>
      <c r="X7" s="52"/>
      <c r="Y7" s="51"/>
      <c r="Z7" s="52"/>
      <c r="AA7" s="51"/>
      <c r="AB7" s="52">
        <v>480</v>
      </c>
      <c r="AC7" s="51"/>
      <c r="AD7" s="52">
        <v>480</v>
      </c>
      <c r="AE7" s="51"/>
      <c r="AF7" s="52">
        <v>480</v>
      </c>
      <c r="AG7" s="51"/>
      <c r="AH7" s="52">
        <v>256</v>
      </c>
      <c r="AI7" s="51"/>
      <c r="AJ7" s="52">
        <v>224</v>
      </c>
      <c r="AK7" s="51"/>
      <c r="AL7" s="52">
        <v>224</v>
      </c>
      <c r="AM7" s="51"/>
      <c r="AN7" s="52">
        <v>256</v>
      </c>
    </row>
    <row r="8" spans="2:40" x14ac:dyDescent="0.25">
      <c r="B8" s="69"/>
      <c r="C8" s="22" t="s">
        <v>49</v>
      </c>
      <c r="D8" s="56">
        <f>AL6*D6</f>
        <v>12600</v>
      </c>
      <c r="E8" s="57"/>
      <c r="F8" s="58"/>
      <c r="G8" s="36">
        <f>232*G6</f>
        <v>10440</v>
      </c>
      <c r="H8" s="36">
        <f>H6/3*AH5+H6/3*AJ5+H6/3*AF5</f>
        <v>7380</v>
      </c>
      <c r="I8" s="36">
        <f>T6*I6</f>
        <v>57200</v>
      </c>
      <c r="J8" s="36">
        <f>14*0+7*0+21*AB6+108*0</f>
        <v>9240</v>
      </c>
      <c r="K8" s="56">
        <f>T6*K6</f>
        <v>57200</v>
      </c>
      <c r="L8" s="57"/>
      <c r="M8" s="58"/>
      <c r="N8" s="14">
        <f t="shared" ref="N8:N9" si="0">SUM(D8:M8)</f>
        <v>154060</v>
      </c>
      <c r="O8" s="37"/>
      <c r="P8" s="38"/>
      <c r="S8" s="53">
        <v>530</v>
      </c>
      <c r="T8" s="54">
        <v>520</v>
      </c>
      <c r="U8" s="53">
        <v>795</v>
      </c>
      <c r="V8" s="54">
        <v>518</v>
      </c>
      <c r="W8" s="53"/>
      <c r="X8" s="54"/>
      <c r="Y8" s="53"/>
      <c r="Z8" s="54"/>
      <c r="AA8" s="53">
        <v>530</v>
      </c>
      <c r="AB8" s="54">
        <v>520</v>
      </c>
      <c r="AC8" s="53">
        <v>795</v>
      </c>
      <c r="AD8" s="54">
        <v>518</v>
      </c>
      <c r="AE8" s="53">
        <v>530</v>
      </c>
      <c r="AF8" s="54">
        <v>520</v>
      </c>
      <c r="AG8" s="53">
        <v>530</v>
      </c>
      <c r="AH8" s="54">
        <v>280</v>
      </c>
      <c r="AI8" s="53">
        <v>901</v>
      </c>
      <c r="AJ8" s="54">
        <v>238</v>
      </c>
      <c r="AK8" s="53">
        <v>901</v>
      </c>
      <c r="AL8" s="54">
        <v>238</v>
      </c>
      <c r="AM8" s="53"/>
      <c r="AN8" s="54">
        <v>280</v>
      </c>
    </row>
    <row r="9" spans="2:40" ht="15.75" thickBot="1" x14ac:dyDescent="0.3">
      <c r="B9" s="70"/>
      <c r="C9" s="29" t="s">
        <v>48</v>
      </c>
      <c r="D9" s="59">
        <f>AK5*D6</f>
        <v>38250</v>
      </c>
      <c r="E9" s="60"/>
      <c r="F9" s="61"/>
      <c r="G9" s="30" t="s">
        <v>28</v>
      </c>
      <c r="H9" s="30">
        <f>H6/3*AG5+H6/3*AI5+H6/3*AE5</f>
        <v>13875</v>
      </c>
      <c r="I9" s="30">
        <f>S5*I6</f>
        <v>48750</v>
      </c>
      <c r="J9" s="30">
        <f>14*0+7*Y5+21*AA5+108*Y5</f>
        <v>26275</v>
      </c>
      <c r="K9" s="59">
        <f>S5*K6</f>
        <v>48750</v>
      </c>
      <c r="L9" s="60"/>
      <c r="M9" s="61"/>
      <c r="N9" s="14">
        <f t="shared" si="0"/>
        <v>175900</v>
      </c>
      <c r="O9" s="31"/>
      <c r="P9" s="32"/>
    </row>
    <row r="10" spans="2:40" x14ac:dyDescent="0.25">
      <c r="B10" s="68" t="s">
        <v>47</v>
      </c>
      <c r="C10" s="24" t="s">
        <v>36</v>
      </c>
      <c r="D10" s="62"/>
      <c r="E10" s="63"/>
      <c r="F10" s="64"/>
      <c r="G10" s="25"/>
      <c r="H10" s="25"/>
      <c r="I10" s="25"/>
      <c r="J10" s="25">
        <v>2026</v>
      </c>
      <c r="K10" s="62"/>
      <c r="L10" s="63"/>
      <c r="M10" s="64"/>
      <c r="N10" s="26"/>
      <c r="O10" s="26"/>
      <c r="P10" s="27" t="s">
        <v>60</v>
      </c>
    </row>
    <row r="11" spans="2:40" x14ac:dyDescent="0.25">
      <c r="B11" s="69"/>
      <c r="C11" s="22" t="s">
        <v>34</v>
      </c>
      <c r="D11" s="56"/>
      <c r="E11" s="57"/>
      <c r="F11" s="58"/>
      <c r="G11" s="13"/>
      <c r="H11" s="13"/>
      <c r="I11" s="13"/>
      <c r="J11" s="13">
        <f>10.952+23.572</f>
        <v>34.524000000000001</v>
      </c>
      <c r="K11" s="56"/>
      <c r="L11" s="57"/>
      <c r="M11" s="58"/>
      <c r="N11" s="41">
        <f>SUM(D11:M11)</f>
        <v>34.524000000000001</v>
      </c>
      <c r="O11" s="14"/>
      <c r="P11" s="28"/>
    </row>
    <row r="12" spans="2:40" x14ac:dyDescent="0.25">
      <c r="B12" s="69"/>
      <c r="C12" s="22" t="s">
        <v>33</v>
      </c>
      <c r="D12" s="56"/>
      <c r="E12" s="57"/>
      <c r="F12" s="58"/>
      <c r="G12" s="13"/>
      <c r="H12" s="13"/>
      <c r="I12" s="13"/>
      <c r="J12" s="13" t="s">
        <v>43</v>
      </c>
      <c r="K12" s="56"/>
      <c r="L12" s="57"/>
      <c r="M12" s="58"/>
      <c r="N12" s="41"/>
      <c r="O12" s="14"/>
      <c r="P12" s="28"/>
    </row>
    <row r="13" spans="2:40" ht="14.25" customHeight="1" x14ac:dyDescent="0.25">
      <c r="B13" s="69"/>
      <c r="C13" s="22" t="s">
        <v>35</v>
      </c>
      <c r="D13" s="56"/>
      <c r="E13" s="57"/>
      <c r="F13" s="58"/>
      <c r="G13" s="13"/>
      <c r="H13" s="13"/>
      <c r="I13" s="13"/>
      <c r="J13" s="13"/>
      <c r="K13" s="56"/>
      <c r="L13" s="57"/>
      <c r="M13" s="58"/>
      <c r="N13" s="41"/>
      <c r="O13" s="14"/>
      <c r="P13" s="28"/>
    </row>
    <row r="14" spans="2:40" x14ac:dyDescent="0.25">
      <c r="B14" s="69"/>
      <c r="C14" s="22" t="s">
        <v>49</v>
      </c>
      <c r="D14" s="34"/>
      <c r="E14" s="33"/>
      <c r="F14" s="35"/>
      <c r="G14" s="36"/>
      <c r="H14" s="36"/>
      <c r="I14" s="36"/>
      <c r="J14" s="36"/>
      <c r="K14" s="34"/>
      <c r="L14" s="33"/>
      <c r="M14" s="35"/>
      <c r="N14" s="41"/>
      <c r="O14" s="37"/>
      <c r="P14" s="38"/>
    </row>
    <row r="15" spans="2:40" ht="14.25" customHeight="1" thickBot="1" x14ac:dyDescent="0.3">
      <c r="B15" s="70"/>
      <c r="C15" s="29" t="s">
        <v>39</v>
      </c>
      <c r="D15" s="59"/>
      <c r="E15" s="60"/>
      <c r="F15" s="61"/>
      <c r="G15" s="30"/>
      <c r="H15" s="30"/>
      <c r="I15" s="30"/>
      <c r="J15" s="30"/>
      <c r="K15" s="59"/>
      <c r="L15" s="60"/>
      <c r="M15" s="61"/>
      <c r="N15" s="41"/>
      <c r="O15" s="31"/>
      <c r="P15" s="32"/>
    </row>
    <row r="16" spans="2:40" ht="30" x14ac:dyDescent="0.25">
      <c r="B16" s="68" t="s">
        <v>40</v>
      </c>
      <c r="C16" s="24" t="s">
        <v>36</v>
      </c>
      <c r="D16" s="25" t="s">
        <v>74</v>
      </c>
      <c r="E16" s="25" t="s">
        <v>85</v>
      </c>
      <c r="F16" s="25" t="s">
        <v>79</v>
      </c>
      <c r="G16" s="25" t="s">
        <v>76</v>
      </c>
      <c r="H16" s="25" t="s">
        <v>77</v>
      </c>
      <c r="I16" s="25"/>
      <c r="J16" s="25">
        <v>2026</v>
      </c>
      <c r="K16" s="25" t="s">
        <v>75</v>
      </c>
      <c r="L16" s="25" t="s">
        <v>86</v>
      </c>
      <c r="M16" s="25" t="s">
        <v>78</v>
      </c>
      <c r="N16" s="26"/>
      <c r="O16" s="26"/>
      <c r="P16" s="28" t="s">
        <v>61</v>
      </c>
    </row>
    <row r="17" spans="2:16" x14ac:dyDescent="0.25">
      <c r="B17" s="69"/>
      <c r="C17" s="22" t="s">
        <v>34</v>
      </c>
      <c r="D17" s="39">
        <v>155.126</v>
      </c>
      <c r="E17" s="39">
        <v>12.791</v>
      </c>
      <c r="F17" s="39">
        <v>10.925000000000001</v>
      </c>
      <c r="G17" s="39">
        <v>10.925000000000001</v>
      </c>
      <c r="H17" s="39">
        <v>12.791</v>
      </c>
      <c r="I17" s="39"/>
      <c r="J17" s="39">
        <v>24.312999999999999</v>
      </c>
      <c r="K17" s="39">
        <v>31.268999999999998</v>
      </c>
      <c r="L17" s="39">
        <v>22.399000000000001</v>
      </c>
      <c r="M17" s="39">
        <v>34.003999999999998</v>
      </c>
      <c r="N17" s="41">
        <f>SUM(D17:M17)</f>
        <v>314.54300000000001</v>
      </c>
      <c r="O17" s="14"/>
      <c r="P17" s="28"/>
    </row>
    <row r="18" spans="2:16" x14ac:dyDescent="0.25">
      <c r="B18" s="69"/>
      <c r="C18" s="22" t="s">
        <v>33</v>
      </c>
      <c r="D18" s="13">
        <v>213</v>
      </c>
      <c r="E18" s="13">
        <v>150</v>
      </c>
      <c r="F18" s="13">
        <v>150</v>
      </c>
      <c r="G18" s="13">
        <v>150</v>
      </c>
      <c r="H18" s="13">
        <v>150</v>
      </c>
      <c r="I18" s="13"/>
      <c r="J18" s="13" t="s">
        <v>43</v>
      </c>
      <c r="K18" s="13">
        <v>180</v>
      </c>
      <c r="L18" s="13">
        <v>180</v>
      </c>
      <c r="M18" s="13">
        <v>180</v>
      </c>
      <c r="N18" s="14">
        <f>SUM(D18:M18)</f>
        <v>1353</v>
      </c>
      <c r="O18" s="14"/>
      <c r="P18" s="28"/>
    </row>
    <row r="19" spans="2:16" x14ac:dyDescent="0.25">
      <c r="B19" s="69"/>
      <c r="C19" s="22" t="s">
        <v>35</v>
      </c>
      <c r="D19" s="22" t="s">
        <v>6</v>
      </c>
      <c r="E19" s="22" t="s">
        <v>6</v>
      </c>
      <c r="F19" s="13" t="s">
        <v>6</v>
      </c>
      <c r="G19" s="13" t="s">
        <v>99</v>
      </c>
      <c r="H19" s="13" t="s">
        <v>7</v>
      </c>
      <c r="I19" s="13"/>
      <c r="J19" s="13"/>
      <c r="K19" s="13" t="s">
        <v>3</v>
      </c>
      <c r="L19" s="13" t="s">
        <v>3</v>
      </c>
      <c r="M19" s="13" t="s">
        <v>3</v>
      </c>
      <c r="N19" s="14"/>
      <c r="O19" s="14"/>
      <c r="P19" s="28"/>
    </row>
    <row r="20" spans="2:16" x14ac:dyDescent="0.25">
      <c r="B20" s="69"/>
      <c r="C20" s="22" t="s">
        <v>49</v>
      </c>
      <c r="D20" s="34">
        <f>AL6*D18</f>
        <v>44730</v>
      </c>
      <c r="E20" s="34">
        <f>AL7*E18</f>
        <v>33600</v>
      </c>
      <c r="F20" s="34">
        <f>AL6*F18</f>
        <v>31500</v>
      </c>
      <c r="G20" s="36">
        <f>60*AL7+60*AN7</f>
        <v>28800</v>
      </c>
      <c r="H20" s="36">
        <f>T7*H18</f>
        <v>72000</v>
      </c>
      <c r="I20" s="36"/>
      <c r="J20" s="36"/>
      <c r="K20" s="34">
        <f>T6*K18</f>
        <v>79200</v>
      </c>
      <c r="L20" s="34">
        <f>L18*T7</f>
        <v>86400</v>
      </c>
      <c r="M20" s="34">
        <f>T7*M18</f>
        <v>86400</v>
      </c>
      <c r="N20" s="14">
        <f t="shared" ref="N20:N21" si="1">SUM(D20:M20)</f>
        <v>462630</v>
      </c>
      <c r="O20" s="37"/>
      <c r="P20" s="38"/>
    </row>
    <row r="21" spans="2:16" ht="15.75" thickBot="1" x14ac:dyDescent="0.3">
      <c r="B21" s="70"/>
      <c r="C21" s="29" t="s">
        <v>48</v>
      </c>
      <c r="D21" s="34">
        <f>AK6*D18</f>
        <v>159324</v>
      </c>
      <c r="E21" s="34">
        <f>AK6*E18</f>
        <v>112200</v>
      </c>
      <c r="F21" s="34">
        <f>AK6*F18</f>
        <v>112200</v>
      </c>
      <c r="G21" s="30">
        <f>60*AK6+60*0</f>
        <v>44880</v>
      </c>
      <c r="H21" s="30">
        <f>S6*H18</f>
        <v>66000</v>
      </c>
      <c r="I21" s="30"/>
      <c r="J21" s="30"/>
      <c r="K21" s="34">
        <f>S6*K18</f>
        <v>79200</v>
      </c>
      <c r="L21" s="55">
        <f>L18*S6</f>
        <v>79200</v>
      </c>
      <c r="M21" s="34">
        <f>S6*M18</f>
        <v>79200</v>
      </c>
      <c r="N21" s="14">
        <f t="shared" si="1"/>
        <v>732204</v>
      </c>
      <c r="O21" s="31"/>
      <c r="P21" s="32"/>
    </row>
    <row r="22" spans="2:16" ht="14.25" customHeight="1" x14ac:dyDescent="0.25">
      <c r="B22" s="68" t="s">
        <v>40</v>
      </c>
      <c r="C22" s="24" t="s">
        <v>36</v>
      </c>
      <c r="D22" s="25" t="s">
        <v>68</v>
      </c>
      <c r="E22" s="25" t="s">
        <v>69</v>
      </c>
      <c r="F22" s="25" t="s">
        <v>70</v>
      </c>
      <c r="G22" s="25" t="s">
        <v>71</v>
      </c>
      <c r="H22" s="25"/>
      <c r="I22" s="25" t="s">
        <v>72</v>
      </c>
      <c r="J22" s="25"/>
      <c r="K22" s="25"/>
      <c r="L22" s="25"/>
      <c r="M22" s="25" t="s">
        <v>73</v>
      </c>
      <c r="N22" s="26"/>
      <c r="O22" s="26"/>
      <c r="P22" s="27"/>
    </row>
    <row r="23" spans="2:16" ht="14.25" customHeight="1" x14ac:dyDescent="0.25">
      <c r="B23" s="69"/>
      <c r="C23" s="22" t="s">
        <v>34</v>
      </c>
      <c r="D23" s="39">
        <v>1.1990000000000001</v>
      </c>
      <c r="E23" s="39">
        <v>1.085</v>
      </c>
      <c r="F23" s="39">
        <v>2.984</v>
      </c>
      <c r="G23" s="39">
        <v>4.5090000000000003</v>
      </c>
      <c r="H23" s="39"/>
      <c r="I23" s="39">
        <v>0.71099999999999997</v>
      </c>
      <c r="J23" s="39"/>
      <c r="K23" s="39"/>
      <c r="L23" s="39"/>
      <c r="M23" s="39">
        <v>6.0229999999999997</v>
      </c>
      <c r="N23" s="41">
        <f>SUM(D23:M23)</f>
        <v>16.511000000000003</v>
      </c>
      <c r="O23" s="14"/>
      <c r="P23" s="28"/>
    </row>
    <row r="24" spans="2:16" ht="14.25" customHeight="1" x14ac:dyDescent="0.25">
      <c r="B24" s="69"/>
      <c r="C24" s="22" t="s">
        <v>33</v>
      </c>
      <c r="D24" s="13" t="s">
        <v>42</v>
      </c>
      <c r="E24" s="13" t="s">
        <v>42</v>
      </c>
      <c r="F24" s="13" t="s">
        <v>42</v>
      </c>
      <c r="G24" s="13" t="s">
        <v>42</v>
      </c>
      <c r="H24" s="13"/>
      <c r="I24" s="13" t="s">
        <v>42</v>
      </c>
      <c r="J24" s="13"/>
      <c r="K24" s="13"/>
      <c r="L24" s="13"/>
      <c r="M24" s="13" t="s">
        <v>42</v>
      </c>
      <c r="N24" s="41"/>
      <c r="O24" s="14"/>
      <c r="P24" s="38"/>
    </row>
    <row r="25" spans="2:16" ht="14.25" customHeight="1" x14ac:dyDescent="0.25">
      <c r="B25" s="69"/>
      <c r="C25" s="22" t="s">
        <v>35</v>
      </c>
      <c r="D25" s="22"/>
      <c r="E25" s="22"/>
      <c r="F25" s="13"/>
      <c r="G25" s="13"/>
      <c r="H25" s="13"/>
      <c r="I25" s="13"/>
      <c r="J25" s="13"/>
      <c r="K25" s="13"/>
      <c r="L25" s="13"/>
      <c r="M25" s="13"/>
      <c r="N25" s="41"/>
      <c r="O25" s="14"/>
      <c r="P25" s="38"/>
    </row>
    <row r="26" spans="2:16" x14ac:dyDescent="0.25">
      <c r="B26" s="69"/>
      <c r="C26" s="22" t="s">
        <v>49</v>
      </c>
      <c r="D26" s="34"/>
      <c r="E26" s="33"/>
      <c r="F26" s="35"/>
      <c r="G26" s="36"/>
      <c r="H26" s="36"/>
      <c r="I26" s="36"/>
      <c r="J26" s="36"/>
      <c r="K26" s="34"/>
      <c r="L26" s="33"/>
      <c r="M26" s="35"/>
      <c r="N26" s="41"/>
      <c r="O26" s="37"/>
      <c r="P26" s="38"/>
    </row>
    <row r="27" spans="2:16" ht="15.75" thickBot="1" x14ac:dyDescent="0.3">
      <c r="B27" s="70"/>
      <c r="C27" s="29" t="s">
        <v>48</v>
      </c>
      <c r="D27" s="59"/>
      <c r="E27" s="60"/>
      <c r="F27" s="61"/>
      <c r="G27" s="30"/>
      <c r="H27" s="30"/>
      <c r="I27" s="30"/>
      <c r="J27" s="30"/>
      <c r="K27" s="59"/>
      <c r="L27" s="60"/>
      <c r="M27" s="61"/>
      <c r="N27" s="41"/>
      <c r="O27" s="31"/>
      <c r="P27" s="32"/>
    </row>
    <row r="28" spans="2:16" x14ac:dyDescent="0.25">
      <c r="B28" s="68" t="s">
        <v>41</v>
      </c>
      <c r="C28" s="24" t="s">
        <v>36</v>
      </c>
      <c r="D28" s="62"/>
      <c r="E28" s="63"/>
      <c r="F28" s="64"/>
      <c r="G28" s="24"/>
      <c r="H28" s="43">
        <v>2023</v>
      </c>
      <c r="I28" s="24"/>
      <c r="J28" s="44">
        <v>2026</v>
      </c>
      <c r="K28" s="62"/>
      <c r="L28" s="63"/>
      <c r="M28" s="64"/>
      <c r="N28" s="26"/>
      <c r="O28" s="26"/>
      <c r="P28" s="27"/>
    </row>
    <row r="29" spans="2:16" ht="19.5" customHeight="1" x14ac:dyDescent="0.25">
      <c r="B29" s="69"/>
      <c r="C29" s="22" t="s">
        <v>34</v>
      </c>
      <c r="D29" s="56"/>
      <c r="E29" s="57"/>
      <c r="F29" s="58"/>
      <c r="G29" s="22"/>
      <c r="H29" s="40">
        <v>14.337</v>
      </c>
      <c r="I29" s="40"/>
      <c r="J29" s="39">
        <v>25.202999999999999</v>
      </c>
      <c r="K29" s="56"/>
      <c r="L29" s="57"/>
      <c r="M29" s="58"/>
      <c r="N29" s="14">
        <f>SUM(F29:M29)</f>
        <v>39.54</v>
      </c>
      <c r="O29" s="14"/>
      <c r="P29" s="38"/>
    </row>
    <row r="30" spans="2:16" ht="19.5" customHeight="1" x14ac:dyDescent="0.25">
      <c r="B30" s="69"/>
      <c r="C30" s="22" t="s">
        <v>33</v>
      </c>
      <c r="D30" s="56"/>
      <c r="E30" s="57"/>
      <c r="F30" s="58"/>
      <c r="G30" s="22"/>
      <c r="H30" s="22" t="s">
        <v>38</v>
      </c>
      <c r="I30" s="22"/>
      <c r="J30" s="13" t="s">
        <v>43</v>
      </c>
      <c r="K30" s="56"/>
      <c r="L30" s="57"/>
      <c r="M30" s="58"/>
      <c r="N30" s="14"/>
      <c r="O30" s="14"/>
      <c r="P30" s="38"/>
    </row>
    <row r="31" spans="2:16" ht="23.25" customHeight="1" x14ac:dyDescent="0.25">
      <c r="B31" s="69"/>
      <c r="C31" s="22" t="s">
        <v>35</v>
      </c>
      <c r="D31" s="56"/>
      <c r="E31" s="57"/>
      <c r="F31" s="58"/>
      <c r="G31" s="22"/>
      <c r="H31" s="22"/>
      <c r="I31" s="22"/>
      <c r="J31" s="13"/>
      <c r="K31" s="56"/>
      <c r="L31" s="57"/>
      <c r="M31" s="58"/>
      <c r="N31" s="14"/>
      <c r="O31" s="14"/>
      <c r="P31" s="38"/>
    </row>
    <row r="32" spans="2:16" x14ac:dyDescent="0.25">
      <c r="B32" s="69"/>
      <c r="C32" s="22" t="s">
        <v>49</v>
      </c>
      <c r="D32" s="34"/>
      <c r="E32" s="33"/>
      <c r="F32" s="35"/>
      <c r="G32" s="36"/>
      <c r="H32" s="36"/>
      <c r="I32" s="36"/>
      <c r="J32" s="36"/>
      <c r="K32" s="34"/>
      <c r="L32" s="33"/>
      <c r="M32" s="35"/>
      <c r="N32" s="37"/>
      <c r="O32" s="37"/>
      <c r="P32" s="38"/>
    </row>
    <row r="33" spans="2:16" ht="15.75" thickBot="1" x14ac:dyDescent="0.3">
      <c r="B33" s="70"/>
      <c r="C33" s="29" t="s">
        <v>48</v>
      </c>
      <c r="D33" s="59"/>
      <c r="E33" s="60"/>
      <c r="F33" s="61"/>
      <c r="G33" s="30"/>
      <c r="H33" s="30"/>
      <c r="I33" s="30"/>
      <c r="J33" s="30"/>
      <c r="K33" s="59"/>
      <c r="L33" s="60"/>
      <c r="M33" s="61"/>
      <c r="N33" s="31"/>
      <c r="O33" s="31"/>
      <c r="P33" s="32"/>
    </row>
    <row r="34" spans="2:16" ht="60" x14ac:dyDescent="0.25">
      <c r="B34" s="68" t="s">
        <v>58</v>
      </c>
      <c r="C34" s="24" t="s">
        <v>36</v>
      </c>
      <c r="D34" s="62">
        <v>2023</v>
      </c>
      <c r="E34" s="63"/>
      <c r="F34" s="64" t="s">
        <v>28</v>
      </c>
      <c r="G34" s="43">
        <v>2023</v>
      </c>
      <c r="H34" s="43">
        <v>2023</v>
      </c>
      <c r="I34" s="43">
        <v>2023</v>
      </c>
      <c r="J34" s="43">
        <v>2023</v>
      </c>
      <c r="K34" s="62">
        <v>2023</v>
      </c>
      <c r="L34" s="63"/>
      <c r="M34" s="64" t="s">
        <v>28</v>
      </c>
      <c r="N34" s="26"/>
      <c r="O34" s="26"/>
      <c r="P34" s="38" t="s">
        <v>30</v>
      </c>
    </row>
    <row r="35" spans="2:16" ht="19.5" customHeight="1" x14ac:dyDescent="0.25">
      <c r="B35" s="69"/>
      <c r="C35" s="22" t="s">
        <v>34</v>
      </c>
      <c r="D35" s="65">
        <v>25.263350000000003</v>
      </c>
      <c r="E35" s="66"/>
      <c r="F35" s="67"/>
      <c r="G35" s="40">
        <v>10.827150000000001</v>
      </c>
      <c r="H35" s="40">
        <v>10.827150000000001</v>
      </c>
      <c r="I35" s="40">
        <v>57.744799999999998</v>
      </c>
      <c r="J35" s="40">
        <v>54.135750000000002</v>
      </c>
      <c r="K35" s="65">
        <v>57.744799999999998</v>
      </c>
      <c r="L35" s="66"/>
      <c r="M35" s="67"/>
      <c r="N35" s="41">
        <f>SUM(D35:M35)</f>
        <v>216.54300000000001</v>
      </c>
      <c r="O35" s="14"/>
      <c r="P35" s="38"/>
    </row>
    <row r="36" spans="2:16" ht="19.5" customHeight="1" x14ac:dyDescent="0.25">
      <c r="B36" s="69"/>
      <c r="C36" s="22" t="s">
        <v>33</v>
      </c>
      <c r="D36" s="56">
        <v>14</v>
      </c>
      <c r="E36" s="57"/>
      <c r="F36" s="58"/>
      <c r="G36" s="22">
        <v>6</v>
      </c>
      <c r="H36" s="22">
        <v>6</v>
      </c>
      <c r="I36" s="22">
        <v>32</v>
      </c>
      <c r="J36" s="13">
        <v>30</v>
      </c>
      <c r="K36" s="56">
        <v>32</v>
      </c>
      <c r="L36" s="57"/>
      <c r="M36" s="58"/>
      <c r="N36" s="14">
        <f>SUM(D36:M36)</f>
        <v>120</v>
      </c>
      <c r="O36" s="14"/>
      <c r="P36" s="38"/>
    </row>
    <row r="37" spans="2:16" ht="23.25" customHeight="1" x14ac:dyDescent="0.25">
      <c r="B37" s="69"/>
      <c r="C37" s="22" t="s">
        <v>35</v>
      </c>
      <c r="D37" s="56" t="s">
        <v>6</v>
      </c>
      <c r="E37" s="57"/>
      <c r="F37" s="58" t="s">
        <v>28</v>
      </c>
      <c r="G37" s="22" t="s">
        <v>15</v>
      </c>
      <c r="H37" s="22" t="s">
        <v>7</v>
      </c>
      <c r="I37" s="22" t="s">
        <v>7</v>
      </c>
      <c r="J37" s="13" t="s">
        <v>14</v>
      </c>
      <c r="K37" s="56" t="s">
        <v>3</v>
      </c>
      <c r="L37" s="57"/>
      <c r="M37" s="58" t="s">
        <v>28</v>
      </c>
      <c r="N37" s="14"/>
      <c r="O37" s="14"/>
      <c r="P37" s="38"/>
    </row>
    <row r="38" spans="2:16" x14ac:dyDescent="0.25">
      <c r="B38" s="69"/>
      <c r="C38" s="22" t="s">
        <v>49</v>
      </c>
      <c r="D38" s="56">
        <f>AL5*D36</f>
        <v>2352</v>
      </c>
      <c r="E38" s="57"/>
      <c r="F38" s="58"/>
      <c r="G38" s="36">
        <f>AN5*G36</f>
        <v>1200</v>
      </c>
      <c r="H38" s="36">
        <f>T5*H36</f>
        <v>2220</v>
      </c>
      <c r="I38" s="36">
        <f>T5*I36</f>
        <v>11840</v>
      </c>
      <c r="J38" s="36"/>
      <c r="K38" s="56">
        <f>T5*K36</f>
        <v>11840</v>
      </c>
      <c r="L38" s="57"/>
      <c r="M38" s="58"/>
      <c r="N38" s="14">
        <f t="shared" ref="N38:N39" si="2">SUM(D38:M38)</f>
        <v>29452</v>
      </c>
      <c r="O38" s="37"/>
      <c r="P38" s="38"/>
    </row>
    <row r="39" spans="2:16" ht="15.75" thickBot="1" x14ac:dyDescent="0.3">
      <c r="B39" s="70"/>
      <c r="C39" s="29" t="s">
        <v>48</v>
      </c>
      <c r="D39" s="59">
        <f>AK5*D36</f>
        <v>8925</v>
      </c>
      <c r="E39" s="60"/>
      <c r="F39" s="61"/>
      <c r="G39" s="30" t="s">
        <v>28</v>
      </c>
      <c r="H39" s="30">
        <f>S5*H36</f>
        <v>2250</v>
      </c>
      <c r="I39" s="30">
        <f>S5*I36</f>
        <v>12000</v>
      </c>
      <c r="J39" s="30">
        <f>Y5*J36</f>
        <v>4800</v>
      </c>
      <c r="K39" s="59">
        <f>S5*K36</f>
        <v>12000</v>
      </c>
      <c r="L39" s="60"/>
      <c r="M39" s="61"/>
      <c r="N39" s="14">
        <f t="shared" si="2"/>
        <v>39975</v>
      </c>
      <c r="O39" s="31"/>
      <c r="P39" s="32"/>
    </row>
    <row r="40" spans="2:16" ht="30" x14ac:dyDescent="0.25">
      <c r="B40" s="68" t="s">
        <v>46</v>
      </c>
      <c r="C40" s="24" t="s">
        <v>36</v>
      </c>
      <c r="D40" s="62">
        <v>2024</v>
      </c>
      <c r="E40" s="63"/>
      <c r="F40" s="64"/>
      <c r="G40" s="24">
        <v>2024</v>
      </c>
      <c r="H40" s="24">
        <v>2024</v>
      </c>
      <c r="I40" s="24">
        <v>2024</v>
      </c>
      <c r="J40" s="24">
        <v>2024</v>
      </c>
      <c r="K40" s="62" t="s">
        <v>67</v>
      </c>
      <c r="L40" s="63"/>
      <c r="M40" s="64"/>
      <c r="N40" s="26"/>
      <c r="O40" s="26"/>
      <c r="P40" s="28" t="s">
        <v>32</v>
      </c>
    </row>
    <row r="41" spans="2:16" ht="19.5" customHeight="1" x14ac:dyDescent="0.25">
      <c r="B41" s="69"/>
      <c r="C41" s="22" t="s">
        <v>34</v>
      </c>
      <c r="D41" s="65">
        <v>15.750206723910933</v>
      </c>
      <c r="E41" s="66"/>
      <c r="F41" s="67"/>
      <c r="G41" s="40">
        <v>6.7500885959618273</v>
      </c>
      <c r="H41" s="40">
        <v>36.944118127949103</v>
      </c>
      <c r="I41" s="40">
        <v>13.500177191923655</v>
      </c>
      <c r="J41" s="40">
        <v>78.171590639745517</v>
      </c>
      <c r="K41" s="65">
        <v>709.45777191923662</v>
      </c>
      <c r="L41" s="66"/>
      <c r="M41" s="67"/>
      <c r="N41" s="41">
        <f>SUM(D41:M41)</f>
        <v>860.57395319872762</v>
      </c>
      <c r="O41" s="14"/>
      <c r="P41" s="28"/>
    </row>
    <row r="42" spans="2:16" ht="19.5" customHeight="1" x14ac:dyDescent="0.25">
      <c r="B42" s="69"/>
      <c r="C42" s="22" t="s">
        <v>33</v>
      </c>
      <c r="D42" s="56">
        <v>30</v>
      </c>
      <c r="E42" s="57"/>
      <c r="F42" s="58"/>
      <c r="G42" s="22">
        <v>15</v>
      </c>
      <c r="H42" s="22">
        <v>15</v>
      </c>
      <c r="I42" s="22">
        <v>50</v>
      </c>
      <c r="J42" s="22">
        <v>55</v>
      </c>
      <c r="K42" s="56">
        <v>45</v>
      </c>
      <c r="L42" s="57"/>
      <c r="M42" s="58"/>
      <c r="N42" s="14">
        <f>SUM(D42:M42)</f>
        <v>210</v>
      </c>
      <c r="O42" s="14"/>
      <c r="P42" s="28"/>
    </row>
    <row r="43" spans="2:16" ht="23.25" customHeight="1" x14ac:dyDescent="0.25">
      <c r="B43" s="69"/>
      <c r="C43" s="22" t="s">
        <v>35</v>
      </c>
      <c r="D43" s="56" t="s">
        <v>6</v>
      </c>
      <c r="E43" s="57"/>
      <c r="F43" s="58"/>
      <c r="G43" s="22" t="s">
        <v>15</v>
      </c>
      <c r="H43" s="22" t="s">
        <v>7</v>
      </c>
      <c r="I43" s="22" t="s">
        <v>7</v>
      </c>
      <c r="J43" s="13" t="s">
        <v>62</v>
      </c>
      <c r="K43" s="56" t="s">
        <v>3</v>
      </c>
      <c r="L43" s="57"/>
      <c r="M43" s="58"/>
      <c r="N43" s="14"/>
      <c r="O43" s="14"/>
      <c r="P43" s="28"/>
    </row>
    <row r="44" spans="2:16" x14ac:dyDescent="0.25">
      <c r="B44" s="69"/>
      <c r="C44" s="22" t="s">
        <v>49</v>
      </c>
      <c r="D44" s="56">
        <f>AL5*D42</f>
        <v>5040</v>
      </c>
      <c r="E44" s="57"/>
      <c r="F44" s="58"/>
      <c r="G44" s="36">
        <f>AN5*G42</f>
        <v>3000</v>
      </c>
      <c r="H44" s="36">
        <f>T5*H42</f>
        <v>5550</v>
      </c>
      <c r="I44" s="36">
        <f>T5*I42</f>
        <v>18500</v>
      </c>
      <c r="J44" s="36">
        <f>8*T5+8*0+2*0+7*AB5+5*AD5+25*0</f>
        <v>7390</v>
      </c>
      <c r="K44" s="56">
        <f>T5*K42</f>
        <v>16650</v>
      </c>
      <c r="L44" s="57"/>
      <c r="M44" s="58"/>
      <c r="N44" s="14">
        <f t="shared" ref="N44:N45" si="3">SUM(D44:M44)</f>
        <v>56130</v>
      </c>
      <c r="O44" s="37"/>
      <c r="P44" s="38"/>
    </row>
    <row r="45" spans="2:16" ht="15.75" thickBot="1" x14ac:dyDescent="0.3">
      <c r="B45" s="70"/>
      <c r="C45" s="29" t="s">
        <v>48</v>
      </c>
      <c r="D45" s="59">
        <f>AK5*D42</f>
        <v>19125</v>
      </c>
      <c r="E45" s="60"/>
      <c r="F45" s="61"/>
      <c r="G45" s="30" t="s">
        <v>28</v>
      </c>
      <c r="H45" s="30">
        <f>S5*H42</f>
        <v>5625</v>
      </c>
      <c r="I45" s="30">
        <f>S5*I42</f>
        <v>18750</v>
      </c>
      <c r="J45" s="30">
        <f>8*S5+8*0+2*Y5+7*AA5+5*AC5+25*Y5</f>
        <v>11482.5</v>
      </c>
      <c r="K45" s="59">
        <f>S5*K42</f>
        <v>16875</v>
      </c>
      <c r="L45" s="60"/>
      <c r="M45" s="61"/>
      <c r="N45" s="14">
        <f t="shared" si="3"/>
        <v>71857.5</v>
      </c>
      <c r="O45" s="31"/>
      <c r="P45" s="32"/>
    </row>
    <row r="46" spans="2:16" ht="30" x14ac:dyDescent="0.25">
      <c r="B46" s="68" t="s">
        <v>44</v>
      </c>
      <c r="C46" s="24" t="s">
        <v>36</v>
      </c>
      <c r="D46" s="62">
        <v>2024</v>
      </c>
      <c r="E46" s="63"/>
      <c r="F46" s="64"/>
      <c r="G46" s="24">
        <v>2024</v>
      </c>
      <c r="H46" s="24">
        <v>2024</v>
      </c>
      <c r="I46" s="24">
        <v>2024</v>
      </c>
      <c r="J46" s="24">
        <v>2024</v>
      </c>
      <c r="K46" s="62">
        <v>2024</v>
      </c>
      <c r="L46" s="63"/>
      <c r="M46" s="64"/>
      <c r="N46" s="26"/>
      <c r="O46" s="26"/>
      <c r="P46" s="28" t="s">
        <v>31</v>
      </c>
    </row>
    <row r="47" spans="2:16" ht="19.5" customHeight="1" x14ac:dyDescent="0.25">
      <c r="B47" s="69"/>
      <c r="C47" s="22" t="s">
        <v>34</v>
      </c>
      <c r="D47" s="56"/>
      <c r="E47" s="57"/>
      <c r="F47" s="58"/>
      <c r="G47" s="40">
        <v>2.9752748050515194</v>
      </c>
      <c r="H47" s="40">
        <v>1.58763740252576</v>
      </c>
      <c r="I47" s="40">
        <v>8.1332419736391</v>
      </c>
      <c r="J47" s="40">
        <v>17.837215183961</v>
      </c>
      <c r="K47" s="56"/>
      <c r="L47" s="57"/>
      <c r="M47" s="58"/>
      <c r="N47" s="41">
        <f>SUM(D47:M47)</f>
        <v>30.533369365177379</v>
      </c>
      <c r="O47" s="14"/>
      <c r="P47" s="28"/>
    </row>
    <row r="48" spans="2:16" ht="19.5" customHeight="1" x14ac:dyDescent="0.25">
      <c r="B48" s="69"/>
      <c r="C48" s="22" t="s">
        <v>33</v>
      </c>
      <c r="D48" s="56"/>
      <c r="E48" s="57"/>
      <c r="F48" s="58"/>
      <c r="G48" s="22" t="s">
        <v>51</v>
      </c>
      <c r="H48" s="22" t="s">
        <v>51</v>
      </c>
      <c r="I48" s="22" t="s">
        <v>51</v>
      </c>
      <c r="J48" s="22" t="s">
        <v>51</v>
      </c>
      <c r="K48" s="56"/>
      <c r="L48" s="57"/>
      <c r="M48" s="58"/>
      <c r="N48" s="14"/>
      <c r="O48" s="14"/>
      <c r="P48" s="28"/>
    </row>
    <row r="49" spans="2:32" ht="23.25" customHeight="1" x14ac:dyDescent="0.25">
      <c r="B49" s="69"/>
      <c r="C49" s="22" t="s">
        <v>35</v>
      </c>
      <c r="D49" s="56"/>
      <c r="E49" s="57"/>
      <c r="F49" s="58"/>
      <c r="G49" s="22"/>
      <c r="H49" s="22"/>
      <c r="I49" s="22"/>
      <c r="J49" s="13"/>
      <c r="K49" s="56"/>
      <c r="L49" s="57"/>
      <c r="M49" s="58"/>
      <c r="N49" s="14"/>
      <c r="O49" s="14"/>
      <c r="P49" s="28"/>
    </row>
    <row r="50" spans="2:32" ht="15.75" thickBot="1" x14ac:dyDescent="0.3">
      <c r="B50" s="69"/>
      <c r="C50" s="29" t="s">
        <v>49</v>
      </c>
      <c r="D50" s="34"/>
      <c r="E50" s="33"/>
      <c r="F50" s="35"/>
      <c r="G50" s="36"/>
      <c r="H50" s="36"/>
      <c r="I50" s="36"/>
      <c r="J50" s="36"/>
      <c r="K50" s="34"/>
      <c r="L50" s="33"/>
      <c r="M50" s="35"/>
      <c r="N50" s="37"/>
      <c r="O50" s="37"/>
      <c r="P50" s="38"/>
    </row>
    <row r="51" spans="2:32" ht="15.75" thickBot="1" x14ac:dyDescent="0.3">
      <c r="B51" s="70"/>
      <c r="C51" s="29" t="s">
        <v>48</v>
      </c>
      <c r="D51" s="59"/>
      <c r="E51" s="60"/>
      <c r="F51" s="61"/>
      <c r="G51" s="30"/>
      <c r="H51" s="30"/>
      <c r="I51" s="30"/>
      <c r="J51" s="30"/>
      <c r="K51" s="59"/>
      <c r="L51" s="60"/>
      <c r="M51" s="61"/>
      <c r="N51" s="31"/>
      <c r="O51" s="31"/>
      <c r="P51" s="32"/>
    </row>
    <row r="52" spans="2:32" x14ac:dyDescent="0.25">
      <c r="B52" s="68" t="s">
        <v>45</v>
      </c>
      <c r="C52" s="24" t="s">
        <v>36</v>
      </c>
      <c r="D52" s="62">
        <v>2023</v>
      </c>
      <c r="E52" s="63"/>
      <c r="F52" s="64"/>
      <c r="G52" s="24"/>
      <c r="H52" s="24">
        <v>2023</v>
      </c>
      <c r="I52" s="24"/>
      <c r="J52" s="24">
        <v>2023</v>
      </c>
      <c r="K52" s="62">
        <v>2023</v>
      </c>
      <c r="L52" s="63"/>
      <c r="M52" s="64"/>
      <c r="N52" s="26"/>
      <c r="O52" s="26"/>
      <c r="P52" s="27"/>
    </row>
    <row r="53" spans="2:32" ht="19.5" customHeight="1" x14ac:dyDescent="0.25">
      <c r="B53" s="69"/>
      <c r="C53" s="22" t="s">
        <v>34</v>
      </c>
      <c r="D53" s="65">
        <v>37.084000000000003</v>
      </c>
      <c r="E53" s="66"/>
      <c r="F53" s="67"/>
      <c r="G53" s="40"/>
      <c r="H53" s="40">
        <v>37.084000000000003</v>
      </c>
      <c r="I53" s="40"/>
      <c r="J53" s="40">
        <v>37.084000000000003</v>
      </c>
      <c r="K53" s="65">
        <v>37.084000000000003</v>
      </c>
      <c r="L53" s="66"/>
      <c r="M53" s="67"/>
      <c r="N53" s="41">
        <f>SUM(D53:M53)</f>
        <v>148.33600000000001</v>
      </c>
      <c r="O53" s="14"/>
      <c r="P53" s="38"/>
    </row>
    <row r="54" spans="2:32" ht="19.5" customHeight="1" x14ac:dyDescent="0.25">
      <c r="B54" s="69"/>
      <c r="C54" s="22" t="s">
        <v>33</v>
      </c>
      <c r="D54" s="56" t="s">
        <v>52</v>
      </c>
      <c r="E54" s="57"/>
      <c r="F54" s="58"/>
      <c r="G54" s="22"/>
      <c r="H54" s="22" t="s">
        <v>52</v>
      </c>
      <c r="I54" s="22"/>
      <c r="J54" s="13" t="s">
        <v>52</v>
      </c>
      <c r="K54" s="56" t="s">
        <v>52</v>
      </c>
      <c r="L54" s="57"/>
      <c r="M54" s="58"/>
      <c r="N54" s="14"/>
      <c r="O54" s="14"/>
      <c r="P54" s="38"/>
    </row>
    <row r="55" spans="2:32" ht="23.25" customHeight="1" x14ac:dyDescent="0.25">
      <c r="B55" s="69"/>
      <c r="C55" s="22" t="s">
        <v>35</v>
      </c>
      <c r="D55" s="56"/>
      <c r="E55" s="57"/>
      <c r="F55" s="58"/>
      <c r="G55" s="22"/>
      <c r="H55" s="22"/>
      <c r="I55" s="22"/>
      <c r="J55" s="13"/>
      <c r="K55" s="56"/>
      <c r="L55" s="57"/>
      <c r="M55" s="58"/>
      <c r="N55" s="14"/>
      <c r="O55" s="14"/>
      <c r="P55" s="38"/>
    </row>
    <row r="56" spans="2:32" ht="15.75" thickBot="1" x14ac:dyDescent="0.3">
      <c r="B56" s="69"/>
      <c r="C56" s="29" t="s">
        <v>49</v>
      </c>
      <c r="D56" s="34"/>
      <c r="E56" s="33"/>
      <c r="F56" s="35"/>
      <c r="G56" s="36"/>
      <c r="H56" s="36"/>
      <c r="I56" s="36"/>
      <c r="J56" s="36"/>
      <c r="K56" s="34"/>
      <c r="L56" s="33"/>
      <c r="M56" s="35"/>
      <c r="N56" s="37"/>
      <c r="O56" s="37"/>
      <c r="P56" s="38"/>
    </row>
    <row r="57" spans="2:32" ht="15.75" thickBot="1" x14ac:dyDescent="0.3">
      <c r="B57" s="70"/>
      <c r="C57" s="29" t="s">
        <v>48</v>
      </c>
      <c r="D57" s="59"/>
      <c r="E57" s="60"/>
      <c r="F57" s="61"/>
      <c r="G57" s="30"/>
      <c r="H57" s="30"/>
      <c r="I57" s="30"/>
      <c r="J57" s="30"/>
      <c r="K57" s="59"/>
      <c r="L57" s="60"/>
      <c r="M57" s="61"/>
      <c r="N57" s="31"/>
      <c r="O57" s="31"/>
      <c r="P57" s="32"/>
    </row>
    <row r="58" spans="2:32" x14ac:dyDescent="0.25">
      <c r="B58" s="16" t="s">
        <v>25</v>
      </c>
      <c r="C58" s="21"/>
      <c r="D58" s="21"/>
      <c r="E58" s="21"/>
      <c r="F58" s="17"/>
      <c r="G58" s="17"/>
      <c r="H58" s="17"/>
      <c r="I58" s="17"/>
      <c r="J58" s="17"/>
      <c r="K58" s="17"/>
      <c r="L58" s="17"/>
      <c r="M58" s="17" t="s">
        <v>53</v>
      </c>
      <c r="N58" s="42">
        <f>N53+N47+N41+N35+N29+N23+N17+N11+N5</f>
        <v>2231.4642916267435</v>
      </c>
      <c r="O58" s="17"/>
      <c r="P58" s="18"/>
    </row>
    <row r="59" spans="2:32" x14ac:dyDescent="0.25">
      <c r="B59" s="16"/>
      <c r="C59" s="21"/>
      <c r="D59" s="21"/>
      <c r="E59" s="21"/>
      <c r="F59" s="17"/>
      <c r="G59" s="17"/>
      <c r="H59" s="17"/>
      <c r="I59" s="17"/>
      <c r="J59" s="17"/>
      <c r="K59" s="17"/>
      <c r="L59" s="17"/>
      <c r="M59" s="17" t="s">
        <v>54</v>
      </c>
      <c r="N59" s="17">
        <f>N42+N36++N18+N6</f>
        <v>2068</v>
      </c>
      <c r="O59" s="17"/>
      <c r="P59" s="18"/>
    </row>
    <row r="60" spans="2:32" x14ac:dyDescent="0.25">
      <c r="M60" t="s">
        <v>64</v>
      </c>
      <c r="N60" s="45">
        <f>N9+N15+N21+N27+N33+N45+N51+N57+N39</f>
        <v>1019936.5</v>
      </c>
    </row>
    <row r="61" spans="2:32" x14ac:dyDescent="0.25">
      <c r="M61" t="s">
        <v>65</v>
      </c>
      <c r="N61">
        <f>N8+N20+N32+N38+N44+N50+N56</f>
        <v>702272</v>
      </c>
    </row>
    <row r="63" spans="2:32" x14ac:dyDescent="0.25">
      <c r="D63" s="46">
        <v>2023</v>
      </c>
      <c r="E63" s="46">
        <v>2024</v>
      </c>
      <c r="F63" s="46">
        <v>2025</v>
      </c>
      <c r="G63" s="46">
        <v>2026</v>
      </c>
      <c r="H63" s="46">
        <v>2027</v>
      </c>
      <c r="I63" s="46">
        <v>2028</v>
      </c>
      <c r="J63" s="46">
        <v>2029</v>
      </c>
      <c r="K63" s="46">
        <v>2030</v>
      </c>
      <c r="L63" s="46">
        <v>2031</v>
      </c>
      <c r="M63" s="46">
        <v>2032</v>
      </c>
      <c r="N63" s="46">
        <v>2033</v>
      </c>
      <c r="O63" s="46">
        <v>2034</v>
      </c>
      <c r="P63" s="46">
        <v>2035</v>
      </c>
      <c r="Q63" s="46">
        <v>2036</v>
      </c>
      <c r="R63" s="46">
        <v>2037</v>
      </c>
      <c r="S63" s="46">
        <v>2038</v>
      </c>
      <c r="T63" s="46">
        <v>2039</v>
      </c>
      <c r="U63" s="46">
        <v>2040</v>
      </c>
      <c r="V63" s="46">
        <v>2041</v>
      </c>
      <c r="W63" s="46">
        <v>2042</v>
      </c>
      <c r="X63" s="46">
        <v>2043</v>
      </c>
      <c r="Y63" s="46">
        <v>2044</v>
      </c>
      <c r="Z63" s="46">
        <v>2045</v>
      </c>
      <c r="AA63" s="46">
        <v>2046</v>
      </c>
      <c r="AB63" s="46">
        <v>2047</v>
      </c>
      <c r="AC63" s="46">
        <v>2048</v>
      </c>
      <c r="AD63" s="46">
        <v>2049</v>
      </c>
      <c r="AE63" s="46">
        <v>2050</v>
      </c>
      <c r="AF63" s="46">
        <v>2051</v>
      </c>
    </row>
    <row r="64" spans="2:32" x14ac:dyDescent="0.25">
      <c r="D64" s="45">
        <f>1/3*K41+N35+N53+H5+H29</f>
        <v>672.73792087936272</v>
      </c>
      <c r="E64" s="45">
        <f>D41+G41+H41+I41+J41+K41*2/3+N47</f>
        <v>654.62139859082617</v>
      </c>
      <c r="F64" s="45">
        <f>D5+G5+I5+K5+N23</f>
        <v>370.13418081895981</v>
      </c>
      <c r="G64" s="45">
        <f>J5+J17+J29+J11</f>
        <v>243.74079133759474</v>
      </c>
      <c r="H64" s="45">
        <f>D17+K17</f>
        <v>186.39500000000001</v>
      </c>
      <c r="J64" s="45">
        <f>F17</f>
        <v>10.925000000000001</v>
      </c>
      <c r="K64" s="45">
        <f>E17+L17</f>
        <v>35.19</v>
      </c>
      <c r="L64" s="45">
        <f>G17</f>
        <v>10.925000000000001</v>
      </c>
      <c r="M64" s="45">
        <f>H17+M17</f>
        <v>46.795000000000002</v>
      </c>
      <c r="P64" s="45"/>
      <c r="Q64" s="45"/>
      <c r="R64" s="45"/>
    </row>
    <row r="65" spans="3:32" x14ac:dyDescent="0.25">
      <c r="C65" t="s">
        <v>66</v>
      </c>
      <c r="D65">
        <f>H8+N38</f>
        <v>36832</v>
      </c>
      <c r="E65">
        <f>N44</f>
        <v>56130</v>
      </c>
      <c r="F65">
        <f>D8+G8+I8+K8</f>
        <v>137440</v>
      </c>
      <c r="G65">
        <f>J8</f>
        <v>9240</v>
      </c>
      <c r="H65">
        <f>D20+K20</f>
        <v>123930</v>
      </c>
      <c r="J65">
        <f>F20</f>
        <v>31500</v>
      </c>
      <c r="K65">
        <f>E20+L20</f>
        <v>120000</v>
      </c>
      <c r="L65">
        <f>G20</f>
        <v>28800</v>
      </c>
      <c r="M65">
        <f>H20+M20</f>
        <v>158400</v>
      </c>
    </row>
    <row r="66" spans="3:32" x14ac:dyDescent="0.25">
      <c r="C66" t="s">
        <v>63</v>
      </c>
      <c r="D66">
        <f>H9+N39</f>
        <v>53850</v>
      </c>
      <c r="E66">
        <f>N45</f>
        <v>71857.5</v>
      </c>
      <c r="F66">
        <f>D9+I9+K9</f>
        <v>135750</v>
      </c>
      <c r="G66">
        <f>J9</f>
        <v>26275</v>
      </c>
      <c r="H66">
        <f>D21+K21</f>
        <v>238524</v>
      </c>
      <c r="J66">
        <f>F21</f>
        <v>112200</v>
      </c>
      <c r="K66">
        <f>E21+L21</f>
        <v>191400</v>
      </c>
      <c r="L66">
        <f>G21</f>
        <v>44880</v>
      </c>
      <c r="M66">
        <f>H21+M21</f>
        <v>145200</v>
      </c>
    </row>
    <row r="68" spans="3:32" x14ac:dyDescent="0.25">
      <c r="D68">
        <f>D65/60</f>
        <v>613.86666666666667</v>
      </c>
      <c r="E68">
        <f t="shared" ref="E68:R68" si="4">E65/60</f>
        <v>935.5</v>
      </c>
      <c r="F68">
        <f t="shared" si="4"/>
        <v>2290.6666666666665</v>
      </c>
      <c r="G68">
        <f t="shared" si="4"/>
        <v>154</v>
      </c>
      <c r="H68">
        <f t="shared" si="4"/>
        <v>2065.5</v>
      </c>
      <c r="I68">
        <f t="shared" si="4"/>
        <v>0</v>
      </c>
      <c r="J68">
        <f t="shared" si="4"/>
        <v>525</v>
      </c>
      <c r="K68">
        <f t="shared" si="4"/>
        <v>2000</v>
      </c>
      <c r="L68">
        <f t="shared" si="4"/>
        <v>480</v>
      </c>
      <c r="M68">
        <f t="shared" si="4"/>
        <v>2640</v>
      </c>
      <c r="N68">
        <f t="shared" si="4"/>
        <v>0</v>
      </c>
      <c r="O68">
        <f t="shared" si="4"/>
        <v>0</v>
      </c>
      <c r="P68">
        <f t="shared" si="4"/>
        <v>0</v>
      </c>
      <c r="Q68">
        <f t="shared" si="4"/>
        <v>0</v>
      </c>
      <c r="R68">
        <f t="shared" si="4"/>
        <v>0</v>
      </c>
    </row>
    <row r="69" spans="3:32" x14ac:dyDescent="0.25">
      <c r="D69">
        <f>D66/60</f>
        <v>897.5</v>
      </c>
      <c r="E69">
        <f t="shared" ref="E69:R69" si="5">E66/60</f>
        <v>1197.625</v>
      </c>
      <c r="F69">
        <f t="shared" si="5"/>
        <v>2262.5</v>
      </c>
      <c r="G69">
        <f t="shared" si="5"/>
        <v>437.91666666666669</v>
      </c>
      <c r="H69">
        <f t="shared" si="5"/>
        <v>3975.4</v>
      </c>
      <c r="I69">
        <f t="shared" si="5"/>
        <v>0</v>
      </c>
      <c r="J69">
        <f t="shared" si="5"/>
        <v>1870</v>
      </c>
      <c r="K69">
        <f t="shared" si="5"/>
        <v>3190</v>
      </c>
      <c r="L69">
        <f t="shared" si="5"/>
        <v>748</v>
      </c>
      <c r="M69">
        <f t="shared" si="5"/>
        <v>2420</v>
      </c>
      <c r="N69">
        <f t="shared" si="5"/>
        <v>0</v>
      </c>
      <c r="O69">
        <f t="shared" si="5"/>
        <v>0</v>
      </c>
      <c r="P69">
        <f t="shared" si="5"/>
        <v>0</v>
      </c>
      <c r="Q69">
        <f t="shared" si="5"/>
        <v>0</v>
      </c>
      <c r="R69">
        <f t="shared" si="5"/>
        <v>0</v>
      </c>
    </row>
    <row r="71" spans="3:32" x14ac:dyDescent="0.25">
      <c r="D71" s="46">
        <v>2023</v>
      </c>
      <c r="E71" s="46">
        <v>2024</v>
      </c>
      <c r="F71" s="46">
        <v>2025</v>
      </c>
      <c r="G71" s="46">
        <v>2026</v>
      </c>
      <c r="H71" s="46">
        <v>2027</v>
      </c>
      <c r="I71" s="46">
        <v>2028</v>
      </c>
      <c r="J71" s="46">
        <v>2029</v>
      </c>
      <c r="K71" s="46">
        <v>2030</v>
      </c>
      <c r="L71" s="46">
        <v>2031</v>
      </c>
      <c r="M71" s="46">
        <v>2032</v>
      </c>
      <c r="N71" s="46">
        <v>2033</v>
      </c>
      <c r="O71" s="46">
        <v>2034</v>
      </c>
      <c r="P71" s="46">
        <v>2035</v>
      </c>
      <c r="Q71" s="46">
        <v>2036</v>
      </c>
      <c r="R71" s="46">
        <v>2037</v>
      </c>
      <c r="S71" s="46">
        <v>2038</v>
      </c>
      <c r="T71" s="46">
        <v>2039</v>
      </c>
      <c r="U71" s="46">
        <v>2040</v>
      </c>
      <c r="V71" s="46">
        <v>2041</v>
      </c>
      <c r="W71" s="46">
        <v>2042</v>
      </c>
      <c r="X71" s="46">
        <v>2043</v>
      </c>
      <c r="Y71" s="46">
        <v>2044</v>
      </c>
      <c r="Z71" s="46">
        <v>2045</v>
      </c>
      <c r="AA71" s="46">
        <v>2046</v>
      </c>
      <c r="AB71" s="46">
        <v>2047</v>
      </c>
      <c r="AC71" s="46">
        <v>2048</v>
      </c>
      <c r="AD71" s="46">
        <v>2049</v>
      </c>
      <c r="AE71" s="46">
        <v>2050</v>
      </c>
      <c r="AF71" s="46">
        <v>2051</v>
      </c>
    </row>
    <row r="72" spans="3:32" x14ac:dyDescent="0.25">
      <c r="C72" t="s">
        <v>96</v>
      </c>
    </row>
    <row r="73" spans="3:32" x14ac:dyDescent="0.25">
      <c r="C73" t="s">
        <v>87</v>
      </c>
      <c r="D73">
        <f>75*(8.1-3.8)*D76</f>
        <v>7740</v>
      </c>
      <c r="E73">
        <f t="shared" ref="E73:G73" si="6">75*(8.1-3.8)*E76</f>
        <v>9675</v>
      </c>
      <c r="F73">
        <f t="shared" si="6"/>
        <v>19350</v>
      </c>
      <c r="G73">
        <f t="shared" si="6"/>
        <v>0</v>
      </c>
      <c r="H73">
        <f>88*(8.1-3.8)*H76</f>
        <v>80599.199999999997</v>
      </c>
      <c r="I73">
        <f t="shared" ref="I73:L73" si="7">88*(8.1-3.8)*I76</f>
        <v>0</v>
      </c>
      <c r="J73">
        <f t="shared" si="7"/>
        <v>56760</v>
      </c>
      <c r="K73">
        <f t="shared" si="7"/>
        <v>56760</v>
      </c>
      <c r="L73">
        <f t="shared" si="7"/>
        <v>22704</v>
      </c>
    </row>
    <row r="74" spans="3:32" x14ac:dyDescent="0.25">
      <c r="C74" t="s">
        <v>102</v>
      </c>
      <c r="D74">
        <f>12*(12.6-16.3)*D76</f>
        <v>-1065.6000000000004</v>
      </c>
      <c r="E74">
        <f t="shared" ref="E74" si="8">12*(12.6-16.3)*E76</f>
        <v>-1332.0000000000005</v>
      </c>
      <c r="F74">
        <f>15*(12.6-16.3)*F76</f>
        <v>-3330.0000000000009</v>
      </c>
      <c r="G74">
        <f t="shared" ref="G74:J74" si="9">15*(12.6-16.3)*G76</f>
        <v>0</v>
      </c>
      <c r="H74">
        <f t="shared" si="9"/>
        <v>-11821.500000000004</v>
      </c>
      <c r="I74">
        <f t="shared" si="9"/>
        <v>0</v>
      </c>
      <c r="J74">
        <f t="shared" si="9"/>
        <v>-8325.0000000000018</v>
      </c>
      <c r="K74">
        <f>16*(12.6-16.3)*K76</f>
        <v>-8880.0000000000018</v>
      </c>
      <c r="L74">
        <f>16*(12.6-16.3)*L76</f>
        <v>-3552.0000000000009</v>
      </c>
    </row>
    <row r="75" spans="3:32" x14ac:dyDescent="0.25">
      <c r="C75" t="s">
        <v>103</v>
      </c>
      <c r="D75">
        <f>25*(17.9-10.3)*D77</f>
        <v>3039.9999999999991</v>
      </c>
      <c r="E75">
        <f t="shared" ref="E75" si="10">25*(17.9-10.3)*E77</f>
        <v>2849.9999999999991</v>
      </c>
      <c r="F75">
        <f>29*(17.9-10.3)*F77</f>
        <v>9917.9999999999982</v>
      </c>
      <c r="G75">
        <f t="shared" ref="G75:J75" si="11">29*(17.9-10.3)*G77</f>
        <v>0</v>
      </c>
      <c r="H75">
        <f t="shared" si="11"/>
        <v>0</v>
      </c>
      <c r="I75">
        <f t="shared" si="11"/>
        <v>0</v>
      </c>
      <c r="J75">
        <f t="shared" si="11"/>
        <v>0</v>
      </c>
      <c r="K75">
        <f>32*(17.9-10.3)*K77</f>
        <v>0</v>
      </c>
      <c r="L75">
        <f>32*(17.9-10.3)*L77</f>
        <v>14591.999999999996</v>
      </c>
    </row>
    <row r="76" spans="3:32" x14ac:dyDescent="0.25">
      <c r="C76" t="s">
        <v>98</v>
      </c>
      <c r="D76">
        <f>10+D36</f>
        <v>24</v>
      </c>
      <c r="E76">
        <f>D42</f>
        <v>30</v>
      </c>
      <c r="F76">
        <f>D6</f>
        <v>60</v>
      </c>
      <c r="H76">
        <f>D18</f>
        <v>213</v>
      </c>
      <c r="J76">
        <f>F18</f>
        <v>150</v>
      </c>
      <c r="K76">
        <f>E18</f>
        <v>150</v>
      </c>
      <c r="L76">
        <v>60</v>
      </c>
    </row>
    <row r="77" spans="3:32" x14ac:dyDescent="0.25">
      <c r="C77" t="s">
        <v>97</v>
      </c>
      <c r="D77">
        <f>10+G36</f>
        <v>16</v>
      </c>
      <c r="E77">
        <f>G42</f>
        <v>15</v>
      </c>
      <c r="F77">
        <f>G6</f>
        <v>45</v>
      </c>
      <c r="L77">
        <v>60</v>
      </c>
    </row>
  </sheetData>
  <mergeCells count="92">
    <mergeCell ref="K3:M3"/>
    <mergeCell ref="B4:B9"/>
    <mergeCell ref="B10:B15"/>
    <mergeCell ref="B28:B33"/>
    <mergeCell ref="B34:B39"/>
    <mergeCell ref="D15:F15"/>
    <mergeCell ref="K4:M4"/>
    <mergeCell ref="K6:M6"/>
    <mergeCell ref="K7:M7"/>
    <mergeCell ref="K9:M9"/>
    <mergeCell ref="D28:F28"/>
    <mergeCell ref="D27:F27"/>
    <mergeCell ref="K27:M27"/>
    <mergeCell ref="K10:M10"/>
    <mergeCell ref="K11:M11"/>
    <mergeCell ref="K12:M12"/>
    <mergeCell ref="F1:M1"/>
    <mergeCell ref="B16:B21"/>
    <mergeCell ref="B22:B27"/>
    <mergeCell ref="D2:F2"/>
    <mergeCell ref="D3:F3"/>
    <mergeCell ref="D4:F4"/>
    <mergeCell ref="D5:F5"/>
    <mergeCell ref="D6:F6"/>
    <mergeCell ref="D7:F7"/>
    <mergeCell ref="D9:F9"/>
    <mergeCell ref="D10:F10"/>
    <mergeCell ref="D11:F11"/>
    <mergeCell ref="D12:F12"/>
    <mergeCell ref="D13:F13"/>
    <mergeCell ref="K2:M2"/>
    <mergeCell ref="K5:M5"/>
    <mergeCell ref="K13:M13"/>
    <mergeCell ref="K15:M15"/>
    <mergeCell ref="D29:F29"/>
    <mergeCell ref="D30:F30"/>
    <mergeCell ref="D31:F31"/>
    <mergeCell ref="D33:F33"/>
    <mergeCell ref="K28:M28"/>
    <mergeCell ref="K29:M29"/>
    <mergeCell ref="K30:M30"/>
    <mergeCell ref="K31:M31"/>
    <mergeCell ref="K33:M33"/>
    <mergeCell ref="B40:B45"/>
    <mergeCell ref="D40:F40"/>
    <mergeCell ref="K40:M40"/>
    <mergeCell ref="D41:F41"/>
    <mergeCell ref="K41:M41"/>
    <mergeCell ref="D42:F42"/>
    <mergeCell ref="K42:M42"/>
    <mergeCell ref="D43:F43"/>
    <mergeCell ref="K43:M43"/>
    <mergeCell ref="D45:F45"/>
    <mergeCell ref="K45:M45"/>
    <mergeCell ref="D44:F44"/>
    <mergeCell ref="K44:M44"/>
    <mergeCell ref="B46:B51"/>
    <mergeCell ref="D46:F46"/>
    <mergeCell ref="K46:M46"/>
    <mergeCell ref="D47:F47"/>
    <mergeCell ref="K47:M47"/>
    <mergeCell ref="D48:F48"/>
    <mergeCell ref="K48:M48"/>
    <mergeCell ref="D49:F49"/>
    <mergeCell ref="K49:M49"/>
    <mergeCell ref="B52:B57"/>
    <mergeCell ref="D52:F52"/>
    <mergeCell ref="K52:M52"/>
    <mergeCell ref="D53:F53"/>
    <mergeCell ref="K53:M53"/>
    <mergeCell ref="D54:F54"/>
    <mergeCell ref="K54:M54"/>
    <mergeCell ref="D55:F55"/>
    <mergeCell ref="K55:M55"/>
    <mergeCell ref="D57:F57"/>
    <mergeCell ref="K57:M57"/>
    <mergeCell ref="D8:F8"/>
    <mergeCell ref="K8:M8"/>
    <mergeCell ref="D38:F38"/>
    <mergeCell ref="K38:M38"/>
    <mergeCell ref="D51:F51"/>
    <mergeCell ref="K51:M51"/>
    <mergeCell ref="D37:F37"/>
    <mergeCell ref="K37:M37"/>
    <mergeCell ref="D39:F39"/>
    <mergeCell ref="K39:M39"/>
    <mergeCell ref="D34:F34"/>
    <mergeCell ref="K34:M34"/>
    <mergeCell ref="D35:F35"/>
    <mergeCell ref="K35:M35"/>
    <mergeCell ref="D36:F36"/>
    <mergeCell ref="K36:M36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Vrianta s projektem</vt:lpstr>
      <vt:lpstr>Varianta bez projektu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2021-01-19T13:28:30Z</dcterms:modified>
</cp:coreProperties>
</file>